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202300"/>
  <xr:revisionPtr revIDLastSave="0" documentId="13_ncr:1_{BF44AAE3-604D-403F-B571-FC1985151437}" xr6:coauthVersionLast="47" xr6:coauthVersionMax="47" xr10:uidLastSave="{00000000-0000-0000-0000-000000000000}"/>
  <workbookProtection workbookAlgorithmName="SHA-512" workbookHashValue="zBSF0Tl2rkeYyHhJ+311iBVH7SuI7aOI30xfezN7AIsMNI61gsFBitJSUdrGAaPk/bCQq/v2rZ90ylMkhgytJw==" workbookSaltValue="dbFWH4XGO888+ag3NxmljA==" workbookSpinCount="100000" lockStructure="1"/>
  <bookViews>
    <workbookView xWindow="-80" yWindow="-80" windowWidth="19360" windowHeight="11440" tabRatio="904" xr2:uid="{F1356E96-CD28-4C3D-94B4-2092C7CB4D48}"/>
  </bookViews>
  <sheets>
    <sheet name="CoverSheet" sheetId="1" r:id="rId1"/>
    <sheet name="Index" sheetId="4" r:id="rId2"/>
    <sheet name="REQ-SubjectPersonInformation" sheetId="16" r:id="rId3"/>
    <sheet name="REQ - Product Risk" sheetId="8" r:id="rId4"/>
    <sheet name="REQ - Customer Risk" sheetId="12" r:id="rId5"/>
    <sheet name="REQ - Jurisdiction Risk" sheetId="15" r:id="rId6"/>
    <sheet name="REQ - Interface Risk" sheetId="14" r:id="rId7"/>
    <sheet name="REQ - Controls" sheetId="3" r:id="rId8"/>
    <sheet name="List_1" sheetId="2" state="veryHidden" r:id="rId9"/>
    <sheet name="List_2" sheetId="6" state="veryHidden" r:id="rId10"/>
  </sheets>
  <definedNames>
    <definedName name="_xlnm._FilterDatabase" localSheetId="8" hidden="1">List_1!$A$1:$C$54</definedName>
    <definedName name="Broking">'REQ - Product Risk'!$R$22</definedName>
    <definedName name="Capital">'REQ - Product Risk'!$R$16</definedName>
    <definedName name="CR.29">'REQ - Customer Risk'!$R$142</definedName>
    <definedName name="CR.30">'REQ - Customer Risk'!$R$143</definedName>
    <definedName name="CR.32">'REQ - Customer Risk'!$R$145</definedName>
    <definedName name="CR.33">'REQ - Customer Risk'!$R$146</definedName>
    <definedName name="CR.35">'REQ - Customer Risk'!$R$148</definedName>
    <definedName name="CR.36">'REQ - Customer Risk'!$R$149</definedName>
    <definedName name="CR.41">'REQ - Customer Risk'!$R$151</definedName>
    <definedName name="CR.42">'REQ - Customer Risk'!$R$152</definedName>
    <definedName name="CR.47">'REQ - Customer Risk'!$R$195</definedName>
    <definedName name="CR.48">'REQ - Customer Risk'!$R$196</definedName>
    <definedName name="CR.50">'REQ - Customer Risk'!$R$123</definedName>
    <definedName name="CR.51">'REQ - Customer Risk'!$R$124</definedName>
    <definedName name="CR.55">'REQ - Customer Risk'!$R$91</definedName>
    <definedName name="CR.56">'REQ - Customer Risk'!$R$92</definedName>
    <definedName name="CR.60">'REQ - Customer Risk'!$R$100</definedName>
    <definedName name="CR.62">'REQ - Customer Risk'!$R$87</definedName>
    <definedName name="CR.63">'REQ - Customer Risk'!$R$88</definedName>
    <definedName name="CR.68">'REQ - Customer Risk'!$R$132</definedName>
    <definedName name="CR.69">'REQ - Customer Risk'!$R$133</definedName>
    <definedName name="CR.71">'REQ - Customer Risk'!$R$114</definedName>
    <definedName name="CR.72">'REQ - Customer Risk'!$R$115</definedName>
    <definedName name="CR.74">'REQ - Customer Risk'!$R$160</definedName>
    <definedName name="CR.75">'REQ - Customer Risk'!$R$161</definedName>
    <definedName name="CR.76">'REQ - Customer Risk'!$R$177</definedName>
    <definedName name="CR.78">'REQ - Customer Risk'!$R$186</definedName>
    <definedName name="CR.79">'REQ - Customer Risk'!$R$187</definedName>
    <definedName name="CR.93">'REQ - Customer Risk'!$R$106</definedName>
    <definedName name="Emoney">'REQ - Product Risk'!$R$23</definedName>
    <definedName name="FinancialLeasing">'REQ - Product Risk'!$R$15</definedName>
    <definedName name="Guarantees">'REQ - Product Risk'!$R$19</definedName>
    <definedName name="Leasing">'REQ - Product Risk'!$R$15</definedName>
    <definedName name="Lending">'REQ - Product Risk'!$R$14</definedName>
    <definedName name="MF.12">'REQ - Controls'!$R$27</definedName>
    <definedName name="Other">'REQ - Product Risk'!$R$18</definedName>
    <definedName name="Payment">'REQ - Product Risk'!$R$17</definedName>
    <definedName name="PR.100">'REQ - Product Risk'!$R$119</definedName>
    <definedName name="PR.104">'REQ - Product Risk'!$R$145</definedName>
    <definedName name="PR.116">'REQ - Product Risk'!$R$163</definedName>
    <definedName name="PR.133">'REQ - Product Risk'!$R$99</definedName>
    <definedName name="PR.136">'REQ - Product Risk'!$R$183</definedName>
    <definedName name="PR.144">'REQ - Product Risk'!$R$99</definedName>
    <definedName name="PR.27">'REQ - Product Risk'!$R$43</definedName>
    <definedName name="PR.28">'REQ - Product Risk'!$R$197</definedName>
    <definedName name="PR.49">'REQ - Product Risk'!$R$181</definedName>
    <definedName name="PR.50">'REQ - Product Risk'!$R$45</definedName>
    <definedName name="PR.54">'REQ - Product Risk'!$R$169</definedName>
    <definedName name="PR.57">'REQ - Product Risk'!$R$239</definedName>
    <definedName name="PR.61">'REQ - Product Risk'!$R$246</definedName>
    <definedName name="PR.63">'REQ - Product Risk'!$R$249</definedName>
    <definedName name="PR.82">'REQ - Product Risk'!$T$84</definedName>
    <definedName name="PR.82.1">'REQ - Product Risk'!$R$85</definedName>
    <definedName name="PR.82.2">'REQ - Product Risk'!$R$86</definedName>
    <definedName name="PR.82.3">'REQ - Product Risk'!$R$87</definedName>
    <definedName name="PR.82.4">'REQ - Product Risk'!$R$88</definedName>
    <definedName name="PR.82.5">'REQ - Product Risk'!$R$89</definedName>
    <definedName name="PR.82.6">'REQ - Product Risk'!$R$90</definedName>
    <definedName name="PR.93">'REQ - Product Risk'!$R$127</definedName>
    <definedName name="PR.98">'REQ - Product Risk'!$R$117</definedName>
    <definedName name="Trading">'REQ - Product Risk'!$R$20</definedName>
    <definedName name="Underwriting">'REQ - Product Risk'!$R$21</definedName>
    <definedName name="VentureOrRiskCapital">'REQ - Product Risk'!$R$16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98" i="3" l="1"/>
  <c r="C24" i="1" l="1"/>
  <c r="T330" i="3"/>
  <c r="T331" i="3"/>
  <c r="T335" i="3"/>
  <c r="T339" i="3"/>
  <c r="T338" i="3"/>
  <c r="T325" i="3"/>
  <c r="T253" i="3"/>
  <c r="T244" i="3"/>
  <c r="T235" i="3"/>
  <c r="T229" i="3"/>
  <c r="T230" i="3"/>
  <c r="T111" i="3"/>
  <c r="T326" i="3"/>
  <c r="L488" i="15"/>
  <c r="L489" i="15"/>
  <c r="L490" i="15"/>
  <c r="L491" i="15"/>
  <c r="L492" i="15"/>
  <c r="L493" i="15"/>
  <c r="L49" i="12"/>
  <c r="L48" i="12"/>
  <c r="L47" i="12"/>
  <c r="L46" i="12"/>
  <c r="L45" i="12"/>
  <c r="L44" i="12"/>
  <c r="L43" i="12"/>
  <c r="T170" i="8"/>
  <c r="T247" i="8"/>
  <c r="T246" i="8" s="1"/>
  <c r="T245" i="8"/>
  <c r="T244" i="8" s="1"/>
  <c r="T243" i="8"/>
  <c r="T242" i="8" s="1"/>
  <c r="T241" i="8"/>
  <c r="T829" i="15"/>
  <c r="T336" i="3"/>
  <c r="T199" i="3"/>
  <c r="T834" i="15"/>
  <c r="T333" i="3"/>
  <c r="T328" i="3"/>
  <c r="T290" i="3" a="1"/>
  <c r="T290" i="3" s="1"/>
  <c r="T282" i="3"/>
  <c r="T274" i="3"/>
  <c r="T13" i="16"/>
  <c r="T5" i="16" s="1"/>
  <c r="G5" i="16"/>
  <c r="S3" i="16"/>
  <c r="T49" i="14"/>
  <c r="T46" i="14"/>
  <c r="D486" i="15"/>
  <c r="D77" i="3"/>
  <c r="T41" i="14"/>
  <c r="T40" i="14"/>
  <c r="T39" i="14"/>
  <c r="T38" i="14"/>
  <c r="D30" i="14"/>
  <c r="T1019" i="15"/>
  <c r="T1018" i="15"/>
  <c r="T1017" i="15"/>
  <c r="T1016" i="15"/>
  <c r="D1008" i="15"/>
  <c r="T997" i="15"/>
  <c r="T996" i="15"/>
  <c r="T995" i="15"/>
  <c r="T994" i="15"/>
  <c r="D986" i="15"/>
  <c r="T970" i="15"/>
  <c r="T969" i="15"/>
  <c r="T968" i="15"/>
  <c r="T967" i="15"/>
  <c r="D959" i="15"/>
  <c r="T948" i="15"/>
  <c r="T947" i="15"/>
  <c r="T946" i="15"/>
  <c r="T945" i="15"/>
  <c r="D937" i="15"/>
  <c r="T920" i="15"/>
  <c r="T919" i="15"/>
  <c r="T918" i="15"/>
  <c r="T917" i="15"/>
  <c r="D909" i="15"/>
  <c r="T893" i="15"/>
  <c r="T892" i="15"/>
  <c r="T891" i="15"/>
  <c r="T890" i="15"/>
  <c r="D882" i="15"/>
  <c r="T871" i="15"/>
  <c r="T870" i="15"/>
  <c r="T869" i="15"/>
  <c r="T868" i="15"/>
  <c r="D860" i="15"/>
  <c r="T844" i="15"/>
  <c r="T843" i="15"/>
  <c r="T842" i="15"/>
  <c r="T841" i="15"/>
  <c r="D833" i="15"/>
  <c r="T822" i="15"/>
  <c r="T821" i="15"/>
  <c r="T820" i="15"/>
  <c r="T819" i="15"/>
  <c r="D811" i="15"/>
  <c r="T800" i="15"/>
  <c r="T799" i="15"/>
  <c r="T798" i="15"/>
  <c r="T797" i="15"/>
  <c r="D789" i="15"/>
  <c r="T778" i="15"/>
  <c r="T777" i="15"/>
  <c r="T776" i="15"/>
  <c r="T775" i="15"/>
  <c r="D767" i="15"/>
  <c r="T755" i="15"/>
  <c r="T754" i="15"/>
  <c r="T753" i="15"/>
  <c r="T752" i="15"/>
  <c r="D744" i="15"/>
  <c r="T733" i="15"/>
  <c r="T732" i="15"/>
  <c r="T731" i="15"/>
  <c r="T730" i="15"/>
  <c r="D722" i="15"/>
  <c r="T711" i="15"/>
  <c r="T710" i="15"/>
  <c r="T709" i="15"/>
  <c r="T708" i="15"/>
  <c r="D700" i="15"/>
  <c r="T689" i="15"/>
  <c r="T688" i="15"/>
  <c r="T687" i="15"/>
  <c r="T686" i="15"/>
  <c r="D678" i="15"/>
  <c r="T661" i="15"/>
  <c r="T660" i="15"/>
  <c r="T659" i="15"/>
  <c r="T658" i="15"/>
  <c r="D650" i="15"/>
  <c r="T639" i="15"/>
  <c r="T638" i="15"/>
  <c r="T637" i="15"/>
  <c r="T636" i="15"/>
  <c r="D628" i="15"/>
  <c r="T617" i="15"/>
  <c r="T616" i="15"/>
  <c r="T615" i="15"/>
  <c r="T614" i="15"/>
  <c r="D606" i="15"/>
  <c r="T590" i="15"/>
  <c r="T589" i="15"/>
  <c r="T588" i="15"/>
  <c r="T587" i="15"/>
  <c r="D579" i="15"/>
  <c r="T568" i="15"/>
  <c r="T567" i="15"/>
  <c r="T566" i="15"/>
  <c r="T565" i="15"/>
  <c r="D557" i="15"/>
  <c r="T546" i="15"/>
  <c r="T545" i="15"/>
  <c r="T544" i="15"/>
  <c r="T543" i="15"/>
  <c r="D535" i="15"/>
  <c r="T524" i="15"/>
  <c r="T523" i="15"/>
  <c r="T522" i="15"/>
  <c r="T521" i="15"/>
  <c r="D513" i="15"/>
  <c r="T475" i="15"/>
  <c r="T474" i="15"/>
  <c r="T473" i="15"/>
  <c r="T472" i="15"/>
  <c r="D464" i="15"/>
  <c r="T453" i="15"/>
  <c r="T452" i="15"/>
  <c r="T451" i="15"/>
  <c r="T450" i="15"/>
  <c r="D442" i="15"/>
  <c r="T431" i="15"/>
  <c r="T430" i="15"/>
  <c r="T429" i="15"/>
  <c r="T428" i="15"/>
  <c r="D420" i="15"/>
  <c r="T409" i="15"/>
  <c r="T408" i="15"/>
  <c r="T407" i="15"/>
  <c r="T406" i="15"/>
  <c r="D398" i="15"/>
  <c r="T387" i="15"/>
  <c r="T386" i="15"/>
  <c r="T385" i="15"/>
  <c r="T384" i="15"/>
  <c r="D376" i="15"/>
  <c r="T365" i="15"/>
  <c r="T364" i="15"/>
  <c r="T363" i="15"/>
  <c r="D354" i="15"/>
  <c r="T362" i="15"/>
  <c r="T343" i="15"/>
  <c r="T342" i="15"/>
  <c r="T341" i="15"/>
  <c r="T340" i="15"/>
  <c r="D332" i="15"/>
  <c r="T318" i="15"/>
  <c r="T317" i="15"/>
  <c r="T316" i="15"/>
  <c r="T315" i="15"/>
  <c r="T314" i="15"/>
  <c r="D307" i="15"/>
  <c r="T297" i="15"/>
  <c r="T296" i="15"/>
  <c r="T295" i="15"/>
  <c r="T294" i="15"/>
  <c r="T293" i="15"/>
  <c r="D285" i="15"/>
  <c r="D263" i="15"/>
  <c r="T274" i="15"/>
  <c r="T273" i="15"/>
  <c r="T272" i="15"/>
  <c r="T271" i="15"/>
  <c r="D241" i="15"/>
  <c r="T225" i="15"/>
  <c r="T224" i="15"/>
  <c r="T223" i="15"/>
  <c r="T222" i="15"/>
  <c r="D214" i="15"/>
  <c r="T203" i="15"/>
  <c r="T202" i="15"/>
  <c r="T201" i="15"/>
  <c r="T200" i="15"/>
  <c r="D192" i="15"/>
  <c r="T167" i="15"/>
  <c r="T166" i="15"/>
  <c r="T165" i="15"/>
  <c r="T164" i="15"/>
  <c r="D156" i="15"/>
  <c r="T145" i="15"/>
  <c r="T144" i="15"/>
  <c r="T143" i="15"/>
  <c r="T142" i="15"/>
  <c r="D134" i="15"/>
  <c r="T123" i="15"/>
  <c r="T122" i="15"/>
  <c r="T121" i="15"/>
  <c r="T120" i="15"/>
  <c r="D112" i="15"/>
  <c r="T101" i="15"/>
  <c r="T100" i="15"/>
  <c r="T99" i="15"/>
  <c r="T98" i="15"/>
  <c r="D90" i="15"/>
  <c r="T79" i="15"/>
  <c r="T78" i="15"/>
  <c r="T77" i="15"/>
  <c r="T76" i="15"/>
  <c r="D68" i="15"/>
  <c r="T53" i="15"/>
  <c r="T52" i="15"/>
  <c r="T51" i="15"/>
  <c r="T50" i="15"/>
  <c r="D42" i="15"/>
  <c r="T33" i="15"/>
  <c r="T32" i="15"/>
  <c r="T31" i="15"/>
  <c r="T30" i="15"/>
  <c r="T29" i="15"/>
  <c r="T28" i="15"/>
  <c r="D20" i="15"/>
  <c r="D42" i="12"/>
  <c r="T54" i="12"/>
  <c r="T53" i="12"/>
  <c r="T52" i="12"/>
  <c r="T51" i="12"/>
  <c r="T50" i="12"/>
  <c r="T49" i="12"/>
  <c r="L24" i="15"/>
  <c r="L25" i="15"/>
  <c r="L26" i="15"/>
  <c r="L27" i="15"/>
  <c r="T147" i="3" a="1"/>
  <c r="T147" i="3" s="1"/>
  <c r="F10" i="4" l="1"/>
  <c r="I10" i="4"/>
  <c r="T146" i="12"/>
  <c r="T750" i="15"/>
  <c r="T745" i="15"/>
  <c r="L746" i="15"/>
  <c r="L747" i="15"/>
  <c r="L748" i="15"/>
  <c r="L749" i="15"/>
  <c r="L750" i="15"/>
  <c r="L751" i="15"/>
  <c r="L745" i="15"/>
  <c r="H746" i="15"/>
  <c r="H747" i="15"/>
  <c r="H748" i="15"/>
  <c r="H749" i="15"/>
  <c r="H750" i="15"/>
  <c r="H751" i="15"/>
  <c r="H752" i="15"/>
  <c r="H753" i="15"/>
  <c r="H754" i="15"/>
  <c r="H755" i="15"/>
  <c r="H756" i="15"/>
  <c r="H757" i="15"/>
  <c r="H745" i="15"/>
  <c r="C746" i="15"/>
  <c r="C747" i="15"/>
  <c r="C748" i="15"/>
  <c r="C749" i="15"/>
  <c r="C750" i="15"/>
  <c r="C751" i="15"/>
  <c r="C752" i="15"/>
  <c r="C753" i="15"/>
  <c r="C754" i="15"/>
  <c r="C755" i="15"/>
  <c r="C756" i="15"/>
  <c r="C757" i="15"/>
  <c r="C745" i="15"/>
  <c r="T757" i="15"/>
  <c r="T756" i="15"/>
  <c r="T746" i="15"/>
  <c r="T747" i="15"/>
  <c r="T748" i="15"/>
  <c r="T749" i="15"/>
  <c r="T751" i="15"/>
  <c r="T740" i="15"/>
  <c r="T741" i="15"/>
  <c r="T742" i="15"/>
  <c r="T739" i="15"/>
  <c r="T726" i="15" l="1"/>
  <c r="C723" i="15"/>
  <c r="T735" i="15"/>
  <c r="T734" i="15"/>
  <c r="T724" i="15"/>
  <c r="T725" i="15"/>
  <c r="T727" i="15"/>
  <c r="T728" i="15"/>
  <c r="T729" i="15"/>
  <c r="T723" i="15"/>
  <c r="T718" i="15"/>
  <c r="T719" i="15"/>
  <c r="T720" i="15"/>
  <c r="T717" i="15"/>
  <c r="C735" i="15"/>
  <c r="H735" i="15"/>
  <c r="L724" i="15"/>
  <c r="L725" i="15"/>
  <c r="L726" i="15"/>
  <c r="L727" i="15"/>
  <c r="L728" i="15"/>
  <c r="L729" i="15"/>
  <c r="L723" i="15"/>
  <c r="H724" i="15"/>
  <c r="H725" i="15"/>
  <c r="H726" i="15"/>
  <c r="H727" i="15"/>
  <c r="H728" i="15"/>
  <c r="H729" i="15"/>
  <c r="H730" i="15"/>
  <c r="H731" i="15"/>
  <c r="H732" i="15"/>
  <c r="H733" i="15"/>
  <c r="H734" i="15"/>
  <c r="H723" i="15"/>
  <c r="C724" i="15"/>
  <c r="C725" i="15"/>
  <c r="C726" i="15"/>
  <c r="C727" i="15"/>
  <c r="C728" i="15"/>
  <c r="C729" i="15"/>
  <c r="C730" i="15"/>
  <c r="C731" i="15"/>
  <c r="C732" i="15"/>
  <c r="C733" i="15"/>
  <c r="C734" i="15"/>
  <c r="T713" i="15"/>
  <c r="T712" i="15"/>
  <c r="T702" i="15"/>
  <c r="T703" i="15"/>
  <c r="T704" i="15"/>
  <c r="T705" i="15"/>
  <c r="T706" i="15"/>
  <c r="T707" i="15"/>
  <c r="T701" i="15"/>
  <c r="T696" i="15"/>
  <c r="T697" i="15"/>
  <c r="T698" i="15"/>
  <c r="T695" i="15"/>
  <c r="L702" i="15"/>
  <c r="L703" i="15"/>
  <c r="L704" i="15"/>
  <c r="L705" i="15"/>
  <c r="L706" i="15"/>
  <c r="L707" i="15"/>
  <c r="L701" i="15"/>
  <c r="H702" i="15"/>
  <c r="H703" i="15"/>
  <c r="H704" i="15"/>
  <c r="H705" i="15"/>
  <c r="H706" i="15"/>
  <c r="H707" i="15"/>
  <c r="H708" i="15"/>
  <c r="H709" i="15"/>
  <c r="H710" i="15"/>
  <c r="H711" i="15"/>
  <c r="H712" i="15"/>
  <c r="H713" i="15"/>
  <c r="H701" i="15"/>
  <c r="C702" i="15"/>
  <c r="C703" i="15"/>
  <c r="C704" i="15"/>
  <c r="C705" i="15"/>
  <c r="C706" i="15"/>
  <c r="C707" i="15"/>
  <c r="C708" i="15"/>
  <c r="C709" i="15"/>
  <c r="C710" i="15"/>
  <c r="C711" i="15"/>
  <c r="C712" i="15"/>
  <c r="C713" i="15"/>
  <c r="L685" i="15"/>
  <c r="H686" i="15"/>
  <c r="C701" i="15"/>
  <c r="T691" i="15"/>
  <c r="T690" i="15"/>
  <c r="T680" i="15"/>
  <c r="T681" i="15"/>
  <c r="T682" i="15"/>
  <c r="T683" i="15"/>
  <c r="T684" i="15"/>
  <c r="T685" i="15"/>
  <c r="T679" i="15"/>
  <c r="T674" i="15"/>
  <c r="T675" i="15"/>
  <c r="T676" i="15"/>
  <c r="T673" i="15"/>
  <c r="L680" i="15"/>
  <c r="L681" i="15"/>
  <c r="L682" i="15"/>
  <c r="L683" i="15"/>
  <c r="L684" i="15"/>
  <c r="L679" i="15"/>
  <c r="H680" i="15"/>
  <c r="H681" i="15"/>
  <c r="H682" i="15"/>
  <c r="H683" i="15"/>
  <c r="H684" i="15"/>
  <c r="H685" i="15"/>
  <c r="H687" i="15"/>
  <c r="H688" i="15"/>
  <c r="H689" i="15"/>
  <c r="H690" i="15"/>
  <c r="H691" i="15"/>
  <c r="H679" i="15"/>
  <c r="C680" i="15"/>
  <c r="C681" i="15"/>
  <c r="C682" i="15"/>
  <c r="C683" i="15"/>
  <c r="C684" i="15"/>
  <c r="C685" i="15"/>
  <c r="C686" i="15"/>
  <c r="C687" i="15"/>
  <c r="C688" i="15"/>
  <c r="C689" i="15"/>
  <c r="C690" i="15"/>
  <c r="C691" i="15"/>
  <c r="C679" i="15"/>
  <c r="T744" i="15"/>
  <c r="B742" i="15"/>
  <c r="B741" i="15"/>
  <c r="B740" i="15"/>
  <c r="B739" i="15"/>
  <c r="T722" i="15"/>
  <c r="B720" i="15"/>
  <c r="B719" i="15"/>
  <c r="B718" i="15"/>
  <c r="B717" i="15"/>
  <c r="T700" i="15"/>
  <c r="B698" i="15"/>
  <c r="B697" i="15"/>
  <c r="B696" i="15"/>
  <c r="B695" i="15"/>
  <c r="T678" i="15"/>
  <c r="B676" i="15"/>
  <c r="B675" i="15"/>
  <c r="B674" i="15"/>
  <c r="B673" i="15"/>
  <c r="T128" i="3" l="1"/>
  <c r="T126" i="3"/>
  <c r="T313" i="3" l="1"/>
  <c r="G5" i="12" l="1"/>
  <c r="G5" i="8"/>
  <c r="R122" i="12" l="1"/>
  <c r="R113" i="12"/>
  <c r="T58" i="15" l="1"/>
  <c r="T315" i="3"/>
  <c r="T30" i="3"/>
  <c r="T171" i="15"/>
  <c r="T225" i="3"/>
  <c r="T242" i="15" a="1"/>
  <c r="T242" i="15" s="1"/>
  <c r="T487" i="15" a="1"/>
  <c r="T487" i="15" s="1"/>
  <c r="T78" i="3" a="1"/>
  <c r="T78" i="3" s="1"/>
  <c r="R239" i="8"/>
  <c r="R249" i="8"/>
  <c r="T147" i="8"/>
  <c r="T75" i="8" a="1"/>
  <c r="T75" i="8" s="1"/>
  <c r="T73" i="8" a="1"/>
  <c r="T73" i="8" s="1"/>
  <c r="T71" i="8" a="1"/>
  <c r="T71" i="8" s="1"/>
  <c r="T209" i="15"/>
  <c r="T1021" i="15" l="1"/>
  <c r="T1020" i="15"/>
  <c r="T1010" i="15"/>
  <c r="T1011" i="15"/>
  <c r="T1012" i="15"/>
  <c r="T1013" i="15"/>
  <c r="T1014" i="15"/>
  <c r="T1015" i="15"/>
  <c r="T1009" i="15"/>
  <c r="T999" i="15"/>
  <c r="T998" i="15"/>
  <c r="T988" i="15"/>
  <c r="T989" i="15"/>
  <c r="T990" i="15"/>
  <c r="T991" i="15"/>
  <c r="T992" i="15"/>
  <c r="T993" i="15"/>
  <c r="T987" i="15"/>
  <c r="T972" i="15"/>
  <c r="T971" i="15"/>
  <c r="T961" i="15"/>
  <c r="T962" i="15"/>
  <c r="T963" i="15"/>
  <c r="T964" i="15"/>
  <c r="T965" i="15"/>
  <c r="T966" i="15"/>
  <c r="T960" i="15"/>
  <c r="T950" i="15"/>
  <c r="T949" i="15"/>
  <c r="T939" i="15"/>
  <c r="T940" i="15"/>
  <c r="T941" i="15"/>
  <c r="T942" i="15"/>
  <c r="T943" i="15"/>
  <c r="T944" i="15"/>
  <c r="T938" i="15"/>
  <c r="T922" i="15"/>
  <c r="T921" i="15"/>
  <c r="T911" i="15"/>
  <c r="T912" i="15"/>
  <c r="T913" i="15"/>
  <c r="T914" i="15"/>
  <c r="T915" i="15"/>
  <c r="T916" i="15"/>
  <c r="T910" i="15"/>
  <c r="T895" i="15"/>
  <c r="T894" i="15"/>
  <c r="T884" i="15"/>
  <c r="T885" i="15"/>
  <c r="T886" i="15"/>
  <c r="T887" i="15"/>
  <c r="T888" i="15"/>
  <c r="T889" i="15"/>
  <c r="T883" i="15"/>
  <c r="T873" i="15"/>
  <c r="T872" i="15"/>
  <c r="T862" i="15"/>
  <c r="T863" i="15"/>
  <c r="T864" i="15"/>
  <c r="T865" i="15"/>
  <c r="T866" i="15"/>
  <c r="T867" i="15"/>
  <c r="T861" i="15"/>
  <c r="T846" i="15"/>
  <c r="T845" i="15"/>
  <c r="T835" i="15"/>
  <c r="T836" i="15"/>
  <c r="T837" i="15"/>
  <c r="T838" i="15"/>
  <c r="T839" i="15"/>
  <c r="T840" i="15"/>
  <c r="T824" i="15"/>
  <c r="T823" i="15"/>
  <c r="T813" i="15"/>
  <c r="T814" i="15"/>
  <c r="T815" i="15"/>
  <c r="T816" i="15"/>
  <c r="T817" i="15"/>
  <c r="T818" i="15"/>
  <c r="T812" i="15"/>
  <c r="T802" i="15"/>
  <c r="T801" i="15"/>
  <c r="T791" i="15"/>
  <c r="T792" i="15"/>
  <c r="T793" i="15"/>
  <c r="T794" i="15"/>
  <c r="T795" i="15"/>
  <c r="T796" i="15"/>
  <c r="T790" i="15"/>
  <c r="T780" i="15"/>
  <c r="T779" i="15"/>
  <c r="T769" i="15"/>
  <c r="T770" i="15"/>
  <c r="T771" i="15"/>
  <c r="T772" i="15"/>
  <c r="T773" i="15"/>
  <c r="T774" i="15"/>
  <c r="T768" i="15"/>
  <c r="T663" i="15"/>
  <c r="T662" i="15"/>
  <c r="T652" i="15"/>
  <c r="T653" i="15"/>
  <c r="T654" i="15"/>
  <c r="T655" i="15"/>
  <c r="T656" i="15"/>
  <c r="T657" i="15"/>
  <c r="T651" i="15"/>
  <c r="T641" i="15"/>
  <c r="T640" i="15"/>
  <c r="T630" i="15"/>
  <c r="T631" i="15"/>
  <c r="T632" i="15"/>
  <c r="T633" i="15"/>
  <c r="T634" i="15"/>
  <c r="T635" i="15"/>
  <c r="T629" i="15"/>
  <c r="T619" i="15"/>
  <c r="T618" i="15"/>
  <c r="T608" i="15"/>
  <c r="T609" i="15"/>
  <c r="T610" i="15"/>
  <c r="T611" i="15"/>
  <c r="T612" i="15"/>
  <c r="T613" i="15"/>
  <c r="T607" i="15"/>
  <c r="T592" i="15"/>
  <c r="T591" i="15"/>
  <c r="T581" i="15"/>
  <c r="T582" i="15"/>
  <c r="T583" i="15"/>
  <c r="T584" i="15"/>
  <c r="T585" i="15"/>
  <c r="T586" i="15"/>
  <c r="T580" i="15"/>
  <c r="T570" i="15"/>
  <c r="T569" i="15"/>
  <c r="T559" i="15"/>
  <c r="T560" i="15"/>
  <c r="T561" i="15"/>
  <c r="T562" i="15"/>
  <c r="T563" i="15"/>
  <c r="T564" i="15"/>
  <c r="T558" i="15"/>
  <c r="T548" i="15"/>
  <c r="T547" i="15"/>
  <c r="T537" i="15"/>
  <c r="T538" i="15"/>
  <c r="T539" i="15"/>
  <c r="T540" i="15"/>
  <c r="T541" i="15"/>
  <c r="T542" i="15"/>
  <c r="T536" i="15"/>
  <c r="T526" i="15"/>
  <c r="T525" i="15"/>
  <c r="T515" i="15"/>
  <c r="T516" i="15"/>
  <c r="T517" i="15"/>
  <c r="T518" i="15"/>
  <c r="T519" i="15"/>
  <c r="T520" i="15"/>
  <c r="T514" i="15"/>
  <c r="T477" i="15"/>
  <c r="T476" i="15"/>
  <c r="T466" i="15"/>
  <c r="T467" i="15"/>
  <c r="T468" i="15"/>
  <c r="T469" i="15"/>
  <c r="T470" i="15"/>
  <c r="T471" i="15"/>
  <c r="T465" i="15"/>
  <c r="T455" i="15"/>
  <c r="T454" i="15"/>
  <c r="T444" i="15"/>
  <c r="T445" i="15"/>
  <c r="T446" i="15"/>
  <c r="T447" i="15"/>
  <c r="T448" i="15"/>
  <c r="T449" i="15"/>
  <c r="T443" i="15"/>
  <c r="T433" i="15"/>
  <c r="T432" i="15"/>
  <c r="T422" i="15"/>
  <c r="T423" i="15"/>
  <c r="T424" i="15"/>
  <c r="T425" i="15"/>
  <c r="T426" i="15"/>
  <c r="T427" i="15"/>
  <c r="T421" i="15"/>
  <c r="T411" i="15"/>
  <c r="T410" i="15"/>
  <c r="T400" i="15"/>
  <c r="T401" i="15"/>
  <c r="T402" i="15"/>
  <c r="T403" i="15"/>
  <c r="T404" i="15"/>
  <c r="T405" i="15"/>
  <c r="T399" i="15"/>
  <c r="T389" i="15"/>
  <c r="T388" i="15"/>
  <c r="T378" i="15"/>
  <c r="T379" i="15"/>
  <c r="T380" i="15"/>
  <c r="T381" i="15"/>
  <c r="T382" i="15"/>
  <c r="T383" i="15"/>
  <c r="T377" i="15"/>
  <c r="T367" i="15"/>
  <c r="T366" i="15"/>
  <c r="T356" i="15"/>
  <c r="T357" i="15"/>
  <c r="T358" i="15"/>
  <c r="T359" i="15"/>
  <c r="T360" i="15"/>
  <c r="T361" i="15"/>
  <c r="T355" i="15"/>
  <c r="T345" i="15"/>
  <c r="T344" i="15"/>
  <c r="T334" i="15"/>
  <c r="T335" i="15"/>
  <c r="T336" i="15"/>
  <c r="T337" i="15"/>
  <c r="T338" i="15"/>
  <c r="T339" i="15"/>
  <c r="T333" i="15"/>
  <c r="T320" i="15"/>
  <c r="T319" i="15"/>
  <c r="T309" i="15"/>
  <c r="T310" i="15"/>
  <c r="T311" i="15"/>
  <c r="T312" i="15"/>
  <c r="T313" i="15"/>
  <c r="T308" i="15"/>
  <c r="T298" i="15"/>
  <c r="T287" i="15"/>
  <c r="T288" i="15"/>
  <c r="T289" i="15"/>
  <c r="T290" i="15"/>
  <c r="T291" i="15"/>
  <c r="T292" i="15"/>
  <c r="T286" i="15"/>
  <c r="T276" i="15"/>
  <c r="T275" i="15"/>
  <c r="T265" i="15"/>
  <c r="T266" i="15"/>
  <c r="T267" i="15"/>
  <c r="T268" i="15"/>
  <c r="T269" i="15"/>
  <c r="T270" i="15"/>
  <c r="T215" i="15"/>
  <c r="T264" i="15"/>
  <c r="T227" i="15"/>
  <c r="T226" i="15"/>
  <c r="T216" i="15"/>
  <c r="T217" i="15"/>
  <c r="T218" i="15"/>
  <c r="T219" i="15"/>
  <c r="T220" i="15"/>
  <c r="T221" i="15"/>
  <c r="T205" i="15"/>
  <c r="T204" i="15"/>
  <c r="T194" i="15"/>
  <c r="T195" i="15"/>
  <c r="T196" i="15"/>
  <c r="T197" i="15"/>
  <c r="T198" i="15"/>
  <c r="T199" i="15"/>
  <c r="T193" i="15"/>
  <c r="T169" i="15"/>
  <c r="T168" i="15"/>
  <c r="T158" i="15"/>
  <c r="T159" i="15"/>
  <c r="T160" i="15"/>
  <c r="T161" i="15"/>
  <c r="T162" i="15"/>
  <c r="T163" i="15"/>
  <c r="T157" i="15"/>
  <c r="T147" i="15"/>
  <c r="T146" i="15"/>
  <c r="T136" i="15"/>
  <c r="T137" i="15"/>
  <c r="T138" i="15"/>
  <c r="T139" i="15"/>
  <c r="T140" i="15"/>
  <c r="T141" i="15"/>
  <c r="T135" i="15"/>
  <c r="T21" i="15"/>
  <c r="T71" i="15"/>
  <c r="T125" i="15"/>
  <c r="T124" i="15"/>
  <c r="T114" i="15"/>
  <c r="T115" i="15"/>
  <c r="T116" i="15"/>
  <c r="T117" i="15"/>
  <c r="T118" i="15"/>
  <c r="T119" i="15"/>
  <c r="T113" i="15"/>
  <c r="T91" i="15"/>
  <c r="T102" i="15"/>
  <c r="T92" i="15"/>
  <c r="T93" i="15"/>
  <c r="T94" i="15"/>
  <c r="T95" i="15"/>
  <c r="T96" i="15"/>
  <c r="T97" i="15"/>
  <c r="T103" i="15"/>
  <c r="T81" i="15"/>
  <c r="T80" i="15"/>
  <c r="T70" i="15"/>
  <c r="T72" i="15"/>
  <c r="T73" i="15"/>
  <c r="T74" i="15"/>
  <c r="T75" i="15"/>
  <c r="T69" i="15"/>
  <c r="T55" i="15"/>
  <c r="T54" i="15"/>
  <c r="T44" i="15"/>
  <c r="T45" i="15"/>
  <c r="T46" i="15"/>
  <c r="T47" i="15"/>
  <c r="T48" i="15"/>
  <c r="T49" i="15"/>
  <c r="T43" i="15"/>
  <c r="T20" i="15"/>
  <c r="T22" i="15"/>
  <c r="T23" i="15"/>
  <c r="T24" i="15"/>
  <c r="T25" i="15"/>
  <c r="T26" i="15"/>
  <c r="T27" i="15"/>
  <c r="T43" i="14"/>
  <c r="T42" i="14"/>
  <c r="T33" i="14"/>
  <c r="T34" i="14"/>
  <c r="T35" i="14"/>
  <c r="T36" i="14"/>
  <c r="T37" i="14"/>
  <c r="T31" i="14"/>
  <c r="T32" i="14"/>
  <c r="T43" i="12"/>
  <c r="T55" i="12"/>
  <c r="T44" i="12"/>
  <c r="T45" i="12"/>
  <c r="T46" i="12"/>
  <c r="T47" i="12"/>
  <c r="T48" i="12"/>
  <c r="R13" i="14"/>
  <c r="T141" i="3" l="1" a="1"/>
  <c r="T141" i="3" s="1"/>
  <c r="T298" i="3" a="1"/>
  <c r="T298" i="3" s="1"/>
  <c r="T82" i="12" l="1"/>
  <c r="T115" i="3" l="1"/>
  <c r="T58" i="3" a="1"/>
  <c r="T58" i="3" s="1"/>
  <c r="T48" i="3" a="1"/>
  <c r="T48" i="3" s="1"/>
  <c r="T35" i="3"/>
  <c r="T21" i="3"/>
  <c r="T17" i="3"/>
  <c r="T19" i="14"/>
  <c r="T45" i="8"/>
  <c r="T39" i="8"/>
  <c r="T29" i="8"/>
  <c r="T25" i="8"/>
  <c r="T41" i="8"/>
  <c r="T102" i="8"/>
  <c r="T100" i="8"/>
  <c r="T99" i="8"/>
  <c r="T108" i="3"/>
  <c r="T107" i="3" s="1"/>
  <c r="T13" i="8" a="1"/>
  <c r="T13" i="8" s="1"/>
  <c r="T38" i="12" l="1"/>
  <c r="T37" i="12"/>
  <c r="T272" i="8" l="1"/>
  <c r="T157" i="8"/>
  <c r="T87" i="12"/>
  <c r="T84" i="12"/>
  <c r="T163" i="3" l="1"/>
  <c r="T161" i="3"/>
  <c r="T323" i="3" l="1"/>
  <c r="T217" i="3"/>
  <c r="T216" i="3" s="1"/>
  <c r="T85" i="15" l="1"/>
  <c r="T90" i="15"/>
  <c r="T88" i="15"/>
  <c r="B88" i="15"/>
  <c r="T87" i="15"/>
  <c r="B87" i="15"/>
  <c r="T86" i="15"/>
  <c r="B86" i="15"/>
  <c r="B85" i="15"/>
  <c r="T281" i="15"/>
  <c r="T282" i="15"/>
  <c r="T283" i="15"/>
  <c r="T280" i="15"/>
  <c r="T259" i="15"/>
  <c r="T260" i="15"/>
  <c r="T261" i="15"/>
  <c r="T258" i="15"/>
  <c r="T66" i="15" a="1"/>
  <c r="T66" i="15" s="1"/>
  <c r="C96" i="15" l="1"/>
  <c r="C100" i="15"/>
  <c r="C102" i="15"/>
  <c r="C92" i="15"/>
  <c r="C101" i="15"/>
  <c r="C93" i="15"/>
  <c r="C94" i="15"/>
  <c r="C103" i="15"/>
  <c r="C95" i="15"/>
  <c r="C91" i="15"/>
  <c r="C97" i="15"/>
  <c r="C98" i="15"/>
  <c r="C99" i="15"/>
  <c r="T62" i="15"/>
  <c r="H93" i="15"/>
  <c r="H96" i="15"/>
  <c r="H102" i="15"/>
  <c r="L94" i="15"/>
  <c r="H101" i="15"/>
  <c r="L96" i="15"/>
  <c r="H91" i="15"/>
  <c r="H94" i="15"/>
  <c r="H99" i="15"/>
  <c r="H92" i="15"/>
  <c r="H97" i="15"/>
  <c r="H100" i="15"/>
  <c r="L92" i="15"/>
  <c r="H103" i="15"/>
  <c r="H95" i="15"/>
  <c r="H98" i="15"/>
  <c r="L91" i="15"/>
  <c r="L93" i="15"/>
  <c r="L95" i="15"/>
  <c r="L97" i="15"/>
  <c r="T65" i="15"/>
  <c r="T63" i="15"/>
  <c r="T64" i="15"/>
  <c r="B75" i="3" l="1"/>
  <c r="B74" i="3"/>
  <c r="B73" i="3"/>
  <c r="B72" i="3"/>
  <c r="L79" i="3" l="1"/>
  <c r="C78" i="3"/>
  <c r="H90" i="3"/>
  <c r="H89" i="3"/>
  <c r="L83" i="3"/>
  <c r="C90" i="3"/>
  <c r="C82" i="3"/>
  <c r="H87" i="3"/>
  <c r="H79" i="3"/>
  <c r="L82" i="3"/>
  <c r="L84" i="3"/>
  <c r="H88" i="3"/>
  <c r="C89" i="3"/>
  <c r="C81" i="3"/>
  <c r="H86" i="3"/>
  <c r="L78" i="3"/>
  <c r="L81" i="3"/>
  <c r="C86" i="3"/>
  <c r="H78" i="3"/>
  <c r="H83" i="3"/>
  <c r="C85" i="3"/>
  <c r="H82" i="3"/>
  <c r="C84" i="3"/>
  <c r="H81" i="3"/>
  <c r="C83" i="3"/>
  <c r="H80" i="3"/>
  <c r="C88" i="3"/>
  <c r="C80" i="3"/>
  <c r="H85" i="3"/>
  <c r="L80" i="3"/>
  <c r="C87" i="3"/>
  <c r="C79" i="3"/>
  <c r="H84" i="3"/>
  <c r="T830" i="15" l="1"/>
  <c r="T831" i="15"/>
  <c r="T828" i="15"/>
  <c r="T807" i="15"/>
  <c r="T808" i="15"/>
  <c r="T809" i="15"/>
  <c r="T806" i="15"/>
  <c r="T785" i="15"/>
  <c r="T786" i="15"/>
  <c r="T787" i="15"/>
  <c r="T784" i="15"/>
  <c r="T763" i="15"/>
  <c r="T764" i="15"/>
  <c r="T765" i="15"/>
  <c r="T762" i="15"/>
  <c r="T833" i="15"/>
  <c r="B831" i="15"/>
  <c r="B830" i="15"/>
  <c r="B829" i="15"/>
  <c r="B828" i="15"/>
  <c r="T811" i="15"/>
  <c r="B809" i="15"/>
  <c r="B808" i="15"/>
  <c r="B807" i="15"/>
  <c r="B806" i="15"/>
  <c r="T789" i="15"/>
  <c r="B787" i="15"/>
  <c r="B786" i="15"/>
  <c r="B785" i="15"/>
  <c r="B784" i="15"/>
  <c r="T767" i="15"/>
  <c r="B765" i="15"/>
  <c r="B764" i="15"/>
  <c r="B763" i="15"/>
  <c r="B762" i="15"/>
  <c r="T1004" i="15"/>
  <c r="T1005" i="15"/>
  <c r="T1006" i="15"/>
  <c r="T1003" i="15"/>
  <c r="T1008" i="15"/>
  <c r="B1006" i="15"/>
  <c r="B1005" i="15"/>
  <c r="B1004" i="15"/>
  <c r="B1003" i="15"/>
  <c r="T982" i="15"/>
  <c r="T983" i="15"/>
  <c r="T984" i="15"/>
  <c r="T981" i="15"/>
  <c r="T986" i="15"/>
  <c r="B984" i="15"/>
  <c r="B983" i="15"/>
  <c r="B982" i="15"/>
  <c r="B981" i="15"/>
  <c r="T955" i="15"/>
  <c r="T956" i="15"/>
  <c r="T957" i="15"/>
  <c r="T954" i="15"/>
  <c r="T959" i="15"/>
  <c r="B957" i="15"/>
  <c r="B956" i="15"/>
  <c r="B955" i="15"/>
  <c r="B954" i="15"/>
  <c r="T933" i="15"/>
  <c r="T934" i="15"/>
  <c r="T935" i="15"/>
  <c r="T932" i="15"/>
  <c r="T937" i="15"/>
  <c r="B935" i="15"/>
  <c r="B934" i="15"/>
  <c r="B933" i="15"/>
  <c r="B932" i="15"/>
  <c r="T905" i="15"/>
  <c r="T906" i="15"/>
  <c r="T907" i="15"/>
  <c r="T904" i="15"/>
  <c r="T909" i="15"/>
  <c r="B907" i="15"/>
  <c r="B906" i="15"/>
  <c r="B905" i="15"/>
  <c r="B904" i="15"/>
  <c r="T878" i="15"/>
  <c r="T879" i="15"/>
  <c r="T880" i="15"/>
  <c r="T877" i="15"/>
  <c r="T882" i="15"/>
  <c r="B880" i="15"/>
  <c r="B879" i="15"/>
  <c r="B878" i="15"/>
  <c r="B877" i="15"/>
  <c r="T856" i="15"/>
  <c r="T857" i="15"/>
  <c r="T858" i="15"/>
  <c r="T855" i="15"/>
  <c r="T860" i="15"/>
  <c r="B858" i="15"/>
  <c r="B857" i="15"/>
  <c r="B856" i="15"/>
  <c r="B855" i="15"/>
  <c r="T172" i="15"/>
  <c r="T178" i="15"/>
  <c r="T175" i="15"/>
  <c r="T177" i="15"/>
  <c r="T174" i="15"/>
  <c r="T646" i="15"/>
  <c r="T647" i="15"/>
  <c r="T648" i="15"/>
  <c r="T645" i="15"/>
  <c r="T650" i="15"/>
  <c r="B648" i="15"/>
  <c r="B647" i="15"/>
  <c r="B646" i="15"/>
  <c r="B645" i="15"/>
  <c r="T624" i="15"/>
  <c r="T625" i="15"/>
  <c r="T626" i="15"/>
  <c r="T623" i="15"/>
  <c r="T628" i="15"/>
  <c r="B626" i="15"/>
  <c r="B625" i="15"/>
  <c r="B624" i="15"/>
  <c r="B623" i="15"/>
  <c r="T602" i="15"/>
  <c r="T603" i="15"/>
  <c r="T604" i="15"/>
  <c r="T601" i="15"/>
  <c r="T606" i="15"/>
  <c r="B604" i="15"/>
  <c r="B603" i="15"/>
  <c r="B602" i="15"/>
  <c r="B601" i="15"/>
  <c r="T579" i="15"/>
  <c r="T577" i="15"/>
  <c r="B577" i="15"/>
  <c r="T576" i="15"/>
  <c r="B576" i="15"/>
  <c r="T575" i="15"/>
  <c r="B575" i="15"/>
  <c r="T574" i="15"/>
  <c r="B574" i="15"/>
  <c r="T553" i="15"/>
  <c r="T554" i="15"/>
  <c r="T555" i="15"/>
  <c r="T552" i="15"/>
  <c r="T557" i="15"/>
  <c r="B555" i="15"/>
  <c r="B554" i="15"/>
  <c r="B553" i="15"/>
  <c r="B552" i="15"/>
  <c r="T531" i="15"/>
  <c r="T532" i="15"/>
  <c r="T533" i="15"/>
  <c r="T530" i="15"/>
  <c r="T535" i="15"/>
  <c r="B533" i="15"/>
  <c r="B532" i="15"/>
  <c r="B531" i="15"/>
  <c r="B530" i="15"/>
  <c r="T511" i="15"/>
  <c r="T510" i="15"/>
  <c r="T509" i="15"/>
  <c r="T508" i="15"/>
  <c r="T513" i="15"/>
  <c r="B511" i="15"/>
  <c r="B510" i="15"/>
  <c r="B509" i="15"/>
  <c r="B508" i="15"/>
  <c r="T484" i="15"/>
  <c r="T483" i="15"/>
  <c r="T482" i="15"/>
  <c r="T481" i="15"/>
  <c r="T486" i="15"/>
  <c r="B484" i="15"/>
  <c r="B483" i="15"/>
  <c r="B482" i="15"/>
  <c r="B481" i="15"/>
  <c r="T462" i="15"/>
  <c r="T461" i="15"/>
  <c r="T460" i="15"/>
  <c r="T459" i="15"/>
  <c r="T464" i="15"/>
  <c r="B462" i="15"/>
  <c r="B461" i="15"/>
  <c r="B460" i="15"/>
  <c r="B459" i="15"/>
  <c r="T440" i="15"/>
  <c r="T439" i="15"/>
  <c r="T438" i="15"/>
  <c r="T437" i="15"/>
  <c r="T442" i="15"/>
  <c r="B440" i="15"/>
  <c r="B439" i="15"/>
  <c r="B438" i="15"/>
  <c r="B437" i="15"/>
  <c r="T417" i="15" a="1"/>
  <c r="T417" i="15" s="1"/>
  <c r="T418" i="15" a="1"/>
  <c r="T418" i="15" s="1"/>
  <c r="T416" i="15" a="1"/>
  <c r="T416" i="15" s="1"/>
  <c r="T415" i="15" a="1"/>
  <c r="T415" i="15" s="1"/>
  <c r="T420" i="15"/>
  <c r="B418" i="15"/>
  <c r="B417" i="15"/>
  <c r="B416" i="15"/>
  <c r="B415" i="15"/>
  <c r="T394" i="15"/>
  <c r="T395" i="15"/>
  <c r="T396" i="15"/>
  <c r="T393" i="15"/>
  <c r="T398" i="15"/>
  <c r="B396" i="15"/>
  <c r="B395" i="15"/>
  <c r="B394" i="15"/>
  <c r="B393" i="15"/>
  <c r="T374" i="15"/>
  <c r="T373" i="15"/>
  <c r="T372" i="15"/>
  <c r="T371" i="15"/>
  <c r="T376" i="15"/>
  <c r="B374" i="15"/>
  <c r="B373" i="15"/>
  <c r="B372" i="15"/>
  <c r="B371" i="15"/>
  <c r="T350" i="15"/>
  <c r="T351" i="15"/>
  <c r="T352" i="15"/>
  <c r="T349" i="15"/>
  <c r="T354" i="15"/>
  <c r="B352" i="15"/>
  <c r="B351" i="15"/>
  <c r="B350" i="15"/>
  <c r="B349" i="15"/>
  <c r="T330" i="15"/>
  <c r="T329" i="15"/>
  <c r="T328" i="15"/>
  <c r="T327" i="15"/>
  <c r="T332" i="15"/>
  <c r="B330" i="15"/>
  <c r="B329" i="15"/>
  <c r="B328" i="15"/>
  <c r="B327" i="15"/>
  <c r="T323" i="15"/>
  <c r="T322" i="15"/>
  <c r="T303" i="15"/>
  <c r="T304" i="15"/>
  <c r="T305" i="15"/>
  <c r="T302" i="15"/>
  <c r="T307" i="15"/>
  <c r="B305" i="15"/>
  <c r="B304" i="15"/>
  <c r="B303" i="15"/>
  <c r="B302" i="15"/>
  <c r="T285" i="15"/>
  <c r="B283" i="15"/>
  <c r="B282" i="15"/>
  <c r="B281" i="15"/>
  <c r="B280" i="15"/>
  <c r="T263" i="15"/>
  <c r="B261" i="15"/>
  <c r="B260" i="15"/>
  <c r="B259" i="15"/>
  <c r="B258" i="15"/>
  <c r="T190" i="15"/>
  <c r="T189" i="15"/>
  <c r="T188" i="15"/>
  <c r="T187" i="15"/>
  <c r="T192" i="15"/>
  <c r="B190" i="15"/>
  <c r="B189" i="15"/>
  <c r="B188" i="15"/>
  <c r="B187" i="15"/>
  <c r="T238" i="15"/>
  <c r="T239" i="15"/>
  <c r="T237" i="15"/>
  <c r="T236" i="15"/>
  <c r="T93" i="8"/>
  <c r="T241" i="15"/>
  <c r="B239" i="15"/>
  <c r="B238" i="15"/>
  <c r="B237" i="15"/>
  <c r="B236" i="15"/>
  <c r="H818" i="15" l="1"/>
  <c r="H846" i="15"/>
  <c r="L793" i="15"/>
  <c r="C466" i="15"/>
  <c r="C474" i="15"/>
  <c r="C468" i="15"/>
  <c r="C476" i="15"/>
  <c r="C467" i="15"/>
  <c r="C475" i="15"/>
  <c r="C469" i="15"/>
  <c r="C477" i="15"/>
  <c r="C471" i="15"/>
  <c r="C472" i="15"/>
  <c r="C470" i="15"/>
  <c r="C465" i="15"/>
  <c r="C473" i="15"/>
  <c r="L584" i="15"/>
  <c r="C582" i="15"/>
  <c r="C590" i="15"/>
  <c r="C583" i="15"/>
  <c r="C591" i="15"/>
  <c r="C588" i="15"/>
  <c r="C584" i="15"/>
  <c r="C592" i="15"/>
  <c r="C585" i="15"/>
  <c r="C580" i="15"/>
  <c r="C589" i="15"/>
  <c r="C586" i="15"/>
  <c r="C587" i="15"/>
  <c r="C581" i="15"/>
  <c r="H292" i="15"/>
  <c r="C286" i="15"/>
  <c r="C294" i="15"/>
  <c r="C288" i="15"/>
  <c r="C292" i="15"/>
  <c r="C287" i="15"/>
  <c r="C295" i="15"/>
  <c r="C296" i="15"/>
  <c r="C289" i="15"/>
  <c r="C297" i="15"/>
  <c r="C290" i="15"/>
  <c r="C298" i="15"/>
  <c r="C291" i="15"/>
  <c r="C293" i="15"/>
  <c r="C544" i="15"/>
  <c r="C537" i="15"/>
  <c r="C545" i="15"/>
  <c r="C538" i="15"/>
  <c r="C546" i="15"/>
  <c r="C539" i="15"/>
  <c r="C547" i="15"/>
  <c r="C536" i="15"/>
  <c r="C540" i="15"/>
  <c r="C548" i="15"/>
  <c r="C541" i="15"/>
  <c r="C542" i="15"/>
  <c r="C543" i="15"/>
  <c r="H636" i="15"/>
  <c r="C633" i="15"/>
  <c r="C641" i="15"/>
  <c r="C632" i="15"/>
  <c r="C634" i="15"/>
  <c r="C629" i="15"/>
  <c r="C639" i="15"/>
  <c r="C640" i="15"/>
  <c r="C635" i="15"/>
  <c r="C636" i="15"/>
  <c r="C630" i="15"/>
  <c r="C637" i="15"/>
  <c r="C638" i="15"/>
  <c r="C631" i="15"/>
  <c r="L886" i="15"/>
  <c r="C890" i="15"/>
  <c r="C888" i="15"/>
  <c r="C891" i="15"/>
  <c r="C883" i="15"/>
  <c r="C884" i="15"/>
  <c r="C892" i="15"/>
  <c r="C885" i="15"/>
  <c r="C893" i="15"/>
  <c r="C886" i="15"/>
  <c r="C894" i="15"/>
  <c r="C887" i="15"/>
  <c r="C895" i="15"/>
  <c r="C889" i="15"/>
  <c r="L794" i="15"/>
  <c r="C792" i="15"/>
  <c r="C801" i="15"/>
  <c r="C793" i="15"/>
  <c r="C802" i="15"/>
  <c r="C800" i="15"/>
  <c r="C799" i="15"/>
  <c r="C794" i="15"/>
  <c r="C790" i="15"/>
  <c r="C795" i="15"/>
  <c r="C796" i="15"/>
  <c r="C797" i="15"/>
  <c r="C798" i="15"/>
  <c r="C791" i="15"/>
  <c r="L814" i="15"/>
  <c r="C820" i="15"/>
  <c r="C819" i="15"/>
  <c r="C813" i="15"/>
  <c r="C821" i="15"/>
  <c r="C814" i="15"/>
  <c r="C822" i="15"/>
  <c r="C815" i="15"/>
  <c r="C823" i="15"/>
  <c r="C812" i="15"/>
  <c r="C816" i="15"/>
  <c r="C824" i="15"/>
  <c r="C817" i="15"/>
  <c r="C818" i="15"/>
  <c r="H517" i="15"/>
  <c r="C517" i="15"/>
  <c r="C525" i="15"/>
  <c r="C518" i="15"/>
  <c r="C526" i="15"/>
  <c r="C514" i="15"/>
  <c r="C523" i="15"/>
  <c r="C516" i="15"/>
  <c r="C519" i="15"/>
  <c r="C520" i="15"/>
  <c r="C524" i="15"/>
  <c r="C521" i="15"/>
  <c r="C522" i="15"/>
  <c r="C515" i="15"/>
  <c r="L609" i="15"/>
  <c r="C614" i="15"/>
  <c r="C612" i="15"/>
  <c r="C615" i="15"/>
  <c r="C608" i="15"/>
  <c r="C616" i="15"/>
  <c r="C609" i="15"/>
  <c r="C617" i="15"/>
  <c r="C619" i="15"/>
  <c r="C610" i="15"/>
  <c r="C618" i="15"/>
  <c r="C607" i="15"/>
  <c r="C613" i="15"/>
  <c r="C611" i="15"/>
  <c r="L862" i="15"/>
  <c r="C863" i="15"/>
  <c r="C871" i="15"/>
  <c r="C870" i="15"/>
  <c r="C864" i="15"/>
  <c r="C872" i="15"/>
  <c r="C865" i="15"/>
  <c r="C873" i="15"/>
  <c r="C866" i="15"/>
  <c r="C861" i="15"/>
  <c r="C868" i="15"/>
  <c r="C867" i="15"/>
  <c r="C862" i="15"/>
  <c r="C869" i="15"/>
  <c r="L961" i="15"/>
  <c r="C966" i="15"/>
  <c r="C963" i="15"/>
  <c r="C967" i="15"/>
  <c r="C965" i="15"/>
  <c r="C968" i="15"/>
  <c r="C964" i="15"/>
  <c r="C969" i="15"/>
  <c r="C962" i="15"/>
  <c r="C961" i="15"/>
  <c r="C970" i="15"/>
  <c r="C971" i="15"/>
  <c r="C972" i="15"/>
  <c r="C960" i="15"/>
  <c r="H816" i="15"/>
  <c r="C652" i="15"/>
  <c r="C660" i="15"/>
  <c r="C653" i="15"/>
  <c r="C661" i="15"/>
  <c r="C654" i="15"/>
  <c r="C662" i="15"/>
  <c r="C655" i="15"/>
  <c r="C663" i="15"/>
  <c r="C656" i="15"/>
  <c r="C651" i="15"/>
  <c r="C657" i="15"/>
  <c r="C658" i="15"/>
  <c r="C659" i="15"/>
  <c r="L309" i="15"/>
  <c r="C314" i="15"/>
  <c r="C315" i="15"/>
  <c r="C316" i="15"/>
  <c r="C320" i="15"/>
  <c r="C313" i="15"/>
  <c r="C309" i="15"/>
  <c r="C317" i="15"/>
  <c r="C311" i="15"/>
  <c r="C312" i="15"/>
  <c r="C310" i="15"/>
  <c r="C318" i="15"/>
  <c r="C319" i="15"/>
  <c r="C308" i="15"/>
  <c r="C990" i="15"/>
  <c r="C998" i="15"/>
  <c r="C997" i="15"/>
  <c r="C991" i="15"/>
  <c r="C999" i="15"/>
  <c r="C992" i="15"/>
  <c r="C987" i="15"/>
  <c r="C993" i="15"/>
  <c r="C988" i="15"/>
  <c r="C989" i="15"/>
  <c r="C994" i="15"/>
  <c r="C995" i="15"/>
  <c r="C996" i="15"/>
  <c r="L266" i="15"/>
  <c r="C268" i="15"/>
  <c r="C276" i="15"/>
  <c r="C270" i="15"/>
  <c r="C269" i="15"/>
  <c r="C264" i="15"/>
  <c r="C273" i="15"/>
  <c r="C275" i="15"/>
  <c r="C271" i="15"/>
  <c r="C265" i="15"/>
  <c r="C267" i="15"/>
  <c r="C272" i="15"/>
  <c r="C266" i="15"/>
  <c r="C274" i="15"/>
  <c r="C839" i="15"/>
  <c r="C834" i="15"/>
  <c r="C837" i="15"/>
  <c r="C840" i="15"/>
  <c r="C838" i="15"/>
  <c r="C841" i="15"/>
  <c r="C842" i="15"/>
  <c r="C835" i="15"/>
  <c r="C843" i="15"/>
  <c r="C836" i="15"/>
  <c r="C845" i="15"/>
  <c r="C844" i="15"/>
  <c r="C846" i="15"/>
  <c r="C382" i="15"/>
  <c r="C377" i="15"/>
  <c r="C384" i="15"/>
  <c r="C383" i="15"/>
  <c r="C388" i="15"/>
  <c r="C389" i="15"/>
  <c r="C385" i="15"/>
  <c r="C379" i="15"/>
  <c r="C380" i="15"/>
  <c r="C378" i="15"/>
  <c r="C386" i="15"/>
  <c r="C387" i="15"/>
  <c r="C381" i="15"/>
  <c r="L910" i="15"/>
  <c r="C914" i="15"/>
  <c r="C922" i="15"/>
  <c r="C913" i="15"/>
  <c r="C915" i="15"/>
  <c r="C910" i="15"/>
  <c r="C921" i="15"/>
  <c r="C916" i="15"/>
  <c r="C917" i="15"/>
  <c r="C919" i="15"/>
  <c r="C918" i="15"/>
  <c r="C911" i="15"/>
  <c r="C920" i="15"/>
  <c r="C912" i="15"/>
  <c r="L358" i="15"/>
  <c r="C363" i="15"/>
  <c r="C365" i="15"/>
  <c r="C361" i="15"/>
  <c r="C356" i="15"/>
  <c r="C364" i="15"/>
  <c r="C357" i="15"/>
  <c r="C358" i="15"/>
  <c r="C366" i="15"/>
  <c r="C355" i="15"/>
  <c r="C359" i="15"/>
  <c r="C367" i="15"/>
  <c r="C360" i="15"/>
  <c r="C362" i="15"/>
  <c r="L446" i="15"/>
  <c r="C447" i="15"/>
  <c r="C455" i="15"/>
  <c r="C448" i="15"/>
  <c r="C443" i="15"/>
  <c r="C449" i="15"/>
  <c r="C453" i="15"/>
  <c r="C450" i="15"/>
  <c r="C446" i="15"/>
  <c r="C451" i="15"/>
  <c r="C452" i="15"/>
  <c r="C445" i="15"/>
  <c r="C454" i="15"/>
  <c r="C444" i="15"/>
  <c r="L426" i="15"/>
  <c r="C427" i="15"/>
  <c r="C433" i="15"/>
  <c r="C424" i="15"/>
  <c r="C428" i="15"/>
  <c r="C429" i="15"/>
  <c r="C426" i="15"/>
  <c r="C425" i="15"/>
  <c r="C430" i="15"/>
  <c r="C423" i="15"/>
  <c r="C422" i="15"/>
  <c r="C431" i="15"/>
  <c r="C432" i="15"/>
  <c r="C421" i="15"/>
  <c r="C198" i="15"/>
  <c r="C193" i="15"/>
  <c r="C196" i="15"/>
  <c r="C199" i="15"/>
  <c r="C200" i="15"/>
  <c r="C197" i="15"/>
  <c r="C201" i="15"/>
  <c r="C195" i="15"/>
  <c r="C194" i="15"/>
  <c r="C202" i="15"/>
  <c r="C203" i="15"/>
  <c r="C204" i="15"/>
  <c r="C205" i="15"/>
  <c r="H407" i="15"/>
  <c r="C400" i="15"/>
  <c r="C409" i="15"/>
  <c r="C403" i="15"/>
  <c r="C402" i="15"/>
  <c r="C410" i="15"/>
  <c r="C411" i="15"/>
  <c r="C404" i="15"/>
  <c r="C399" i="15"/>
  <c r="C408" i="15"/>
  <c r="C405" i="15"/>
  <c r="C406" i="15"/>
  <c r="C407" i="15"/>
  <c r="C401" i="15"/>
  <c r="C493" i="15"/>
  <c r="C495" i="15"/>
  <c r="C491" i="15"/>
  <c r="C494" i="15"/>
  <c r="C487" i="15"/>
  <c r="C488" i="15"/>
  <c r="C496" i="15"/>
  <c r="C489" i="15"/>
  <c r="C497" i="15"/>
  <c r="C498" i="15"/>
  <c r="C492" i="15"/>
  <c r="C490" i="15"/>
  <c r="C499" i="15"/>
  <c r="C939" i="15"/>
  <c r="C947" i="15"/>
  <c r="C940" i="15"/>
  <c r="C948" i="15"/>
  <c r="C945" i="15"/>
  <c r="C941" i="15"/>
  <c r="C949" i="15"/>
  <c r="C942" i="15"/>
  <c r="C950" i="15"/>
  <c r="C943" i="15"/>
  <c r="C938" i="15"/>
  <c r="C944" i="15"/>
  <c r="C946" i="15"/>
  <c r="L774" i="15"/>
  <c r="C774" i="15"/>
  <c r="C772" i="15"/>
  <c r="C775" i="15"/>
  <c r="C776" i="15"/>
  <c r="C769" i="15"/>
  <c r="C777" i="15"/>
  <c r="C771" i="15"/>
  <c r="C780" i="15"/>
  <c r="C773" i="15"/>
  <c r="C770" i="15"/>
  <c r="C778" i="15"/>
  <c r="C779" i="15"/>
  <c r="C768" i="15"/>
  <c r="C563" i="15"/>
  <c r="C558" i="15"/>
  <c r="C569" i="15"/>
  <c r="C564" i="15"/>
  <c r="C562" i="15"/>
  <c r="C565" i="15"/>
  <c r="C566" i="15"/>
  <c r="C560" i="15"/>
  <c r="C561" i="15"/>
  <c r="C559" i="15"/>
  <c r="C567" i="15"/>
  <c r="C570" i="15"/>
  <c r="C568" i="15"/>
  <c r="L1013" i="15"/>
  <c r="C1017" i="15"/>
  <c r="C1010" i="15"/>
  <c r="C1018" i="15"/>
  <c r="C1015" i="15"/>
  <c r="C1011" i="15"/>
  <c r="C1019" i="15"/>
  <c r="C1012" i="15"/>
  <c r="C1020" i="15"/>
  <c r="C1013" i="15"/>
  <c r="C1021" i="15"/>
  <c r="C1014" i="15"/>
  <c r="C1009" i="15"/>
  <c r="C1016" i="15"/>
  <c r="L339" i="15"/>
  <c r="C336" i="15"/>
  <c r="C344" i="15"/>
  <c r="C333" i="15"/>
  <c r="C337" i="15"/>
  <c r="C345" i="15"/>
  <c r="C338" i="15"/>
  <c r="C339" i="15"/>
  <c r="C343" i="15"/>
  <c r="C340" i="15"/>
  <c r="C341" i="15"/>
  <c r="C342" i="15"/>
  <c r="C335" i="15"/>
  <c r="C334" i="15"/>
  <c r="L243" i="15"/>
  <c r="C249" i="15"/>
  <c r="C251" i="15"/>
  <c r="C250" i="15"/>
  <c r="C243" i="15"/>
  <c r="C242" i="15"/>
  <c r="C244" i="15"/>
  <c r="C252" i="15"/>
  <c r="C247" i="15"/>
  <c r="C245" i="15"/>
  <c r="C253" i="15"/>
  <c r="C246" i="15"/>
  <c r="C254" i="15"/>
  <c r="C248" i="15"/>
  <c r="H778" i="15"/>
  <c r="L791" i="15"/>
  <c r="H844" i="15"/>
  <c r="H776" i="15"/>
  <c r="H838" i="15"/>
  <c r="H770" i="15"/>
  <c r="L813" i="15"/>
  <c r="H836" i="15"/>
  <c r="L768" i="15"/>
  <c r="H798" i="15"/>
  <c r="L773" i="15"/>
  <c r="H796" i="15"/>
  <c r="L839" i="15"/>
  <c r="L771" i="15"/>
  <c r="L790" i="15"/>
  <c r="H824" i="15"/>
  <c r="H777" i="15"/>
  <c r="H769" i="15"/>
  <c r="L772" i="15"/>
  <c r="H797" i="15"/>
  <c r="L792" i="15"/>
  <c r="H812" i="15"/>
  <c r="H817" i="15"/>
  <c r="H845" i="15"/>
  <c r="H837" i="15"/>
  <c r="L840" i="15"/>
  <c r="H775" i="15"/>
  <c r="L770" i="15"/>
  <c r="H790" i="15"/>
  <c r="H795" i="15"/>
  <c r="H823" i="15"/>
  <c r="H815" i="15"/>
  <c r="L818" i="15"/>
  <c r="H843" i="15"/>
  <c r="H835" i="15"/>
  <c r="L838" i="15"/>
  <c r="H774" i="15"/>
  <c r="L769" i="15"/>
  <c r="H802" i="15"/>
  <c r="H794" i="15"/>
  <c r="H822" i="15"/>
  <c r="H814" i="15"/>
  <c r="L817" i="15"/>
  <c r="H842" i="15"/>
  <c r="L834" i="15"/>
  <c r="L837" i="15"/>
  <c r="H768" i="15"/>
  <c r="H773" i="15"/>
  <c r="H801" i="15"/>
  <c r="H793" i="15"/>
  <c r="L796" i="15"/>
  <c r="H821" i="15"/>
  <c r="H813" i="15"/>
  <c r="L816" i="15"/>
  <c r="H841" i="15"/>
  <c r="L836" i="15"/>
  <c r="H780" i="15"/>
  <c r="H772" i="15"/>
  <c r="H800" i="15"/>
  <c r="H792" i="15"/>
  <c r="L795" i="15"/>
  <c r="H820" i="15"/>
  <c r="L812" i="15"/>
  <c r="L815" i="15"/>
  <c r="H840" i="15"/>
  <c r="L835" i="15"/>
  <c r="H779" i="15"/>
  <c r="H771" i="15"/>
  <c r="H799" i="15"/>
  <c r="H791" i="15"/>
  <c r="H819" i="15"/>
  <c r="H834" i="15"/>
  <c r="H839" i="15"/>
  <c r="H990" i="15"/>
  <c r="H949" i="15"/>
  <c r="H1017" i="15"/>
  <c r="L1009" i="15"/>
  <c r="L1012" i="15"/>
  <c r="L940" i="15"/>
  <c r="H998" i="15"/>
  <c r="H1016" i="15"/>
  <c r="L1011" i="15"/>
  <c r="H994" i="15"/>
  <c r="H1015" i="15"/>
  <c r="L1010" i="15"/>
  <c r="H1021" i="15"/>
  <c r="H1013" i="15"/>
  <c r="L993" i="15"/>
  <c r="H1020" i="15"/>
  <c r="H1012" i="15"/>
  <c r="L1015" i="15"/>
  <c r="H1014" i="15"/>
  <c r="L989" i="15"/>
  <c r="H1019" i="15"/>
  <c r="H1011" i="15"/>
  <c r="L1014" i="15"/>
  <c r="H1009" i="15"/>
  <c r="H920" i="15"/>
  <c r="H1018" i="15"/>
  <c r="H1010" i="15"/>
  <c r="H960" i="15"/>
  <c r="H965" i="15"/>
  <c r="H995" i="15"/>
  <c r="L987" i="15"/>
  <c r="L990" i="15"/>
  <c r="H971" i="15"/>
  <c r="H963" i="15"/>
  <c r="L966" i="15"/>
  <c r="H993" i="15"/>
  <c r="L988" i="15"/>
  <c r="H972" i="15"/>
  <c r="H970" i="15"/>
  <c r="H962" i="15"/>
  <c r="L965" i="15"/>
  <c r="H987" i="15"/>
  <c r="H992" i="15"/>
  <c r="H969" i="15"/>
  <c r="H961" i="15"/>
  <c r="L964" i="15"/>
  <c r="H999" i="15"/>
  <c r="H991" i="15"/>
  <c r="H968" i="15"/>
  <c r="L960" i="15"/>
  <c r="L963" i="15"/>
  <c r="H964" i="15"/>
  <c r="H967" i="15"/>
  <c r="L962" i="15"/>
  <c r="H997" i="15"/>
  <c r="H989" i="15"/>
  <c r="L992" i="15"/>
  <c r="H966" i="15"/>
  <c r="H996" i="15"/>
  <c r="H988" i="15"/>
  <c r="L991" i="15"/>
  <c r="H945" i="15"/>
  <c r="H941" i="15"/>
  <c r="H921" i="15"/>
  <c r="H946" i="15"/>
  <c r="L938" i="15"/>
  <c r="L941" i="15"/>
  <c r="H867" i="15"/>
  <c r="H918" i="15"/>
  <c r="L916" i="15"/>
  <c r="H944" i="15"/>
  <c r="L939" i="15"/>
  <c r="H917" i="15"/>
  <c r="L915" i="15"/>
  <c r="H938" i="15"/>
  <c r="H943" i="15"/>
  <c r="H916" i="15"/>
  <c r="L913" i="15"/>
  <c r="H950" i="15"/>
  <c r="H942" i="15"/>
  <c r="H913" i="15"/>
  <c r="L912" i="15"/>
  <c r="L944" i="15"/>
  <c r="H912" i="15"/>
  <c r="L911" i="15"/>
  <c r="H948" i="15"/>
  <c r="H940" i="15"/>
  <c r="L943" i="15"/>
  <c r="H947" i="15"/>
  <c r="H939" i="15"/>
  <c r="L942" i="15"/>
  <c r="H910" i="15"/>
  <c r="H915" i="15"/>
  <c r="H872" i="15"/>
  <c r="H922" i="15"/>
  <c r="H914" i="15"/>
  <c r="H919" i="15"/>
  <c r="H911" i="15"/>
  <c r="L914" i="15"/>
  <c r="L885" i="15"/>
  <c r="H891" i="15"/>
  <c r="H890" i="15"/>
  <c r="L883" i="15"/>
  <c r="H889" i="15"/>
  <c r="L884" i="15"/>
  <c r="H883" i="15"/>
  <c r="H888" i="15"/>
  <c r="H895" i="15"/>
  <c r="H887" i="15"/>
  <c r="H894" i="15"/>
  <c r="H886" i="15"/>
  <c r="L889" i="15"/>
  <c r="L867" i="15"/>
  <c r="H893" i="15"/>
  <c r="H885" i="15"/>
  <c r="L888" i="15"/>
  <c r="H892" i="15"/>
  <c r="H884" i="15"/>
  <c r="L887" i="15"/>
  <c r="L863" i="15"/>
  <c r="H868" i="15"/>
  <c r="H864" i="15"/>
  <c r="H869" i="15"/>
  <c r="L861" i="15"/>
  <c r="L864" i="15"/>
  <c r="H861" i="15"/>
  <c r="H866" i="15"/>
  <c r="H873" i="15"/>
  <c r="H865" i="15"/>
  <c r="H871" i="15"/>
  <c r="H863" i="15"/>
  <c r="L866" i="15"/>
  <c r="H870" i="15"/>
  <c r="H862" i="15"/>
  <c r="L865" i="15"/>
  <c r="H615" i="15"/>
  <c r="L607" i="15"/>
  <c r="H663" i="15"/>
  <c r="H655" i="15"/>
  <c r="H662" i="15"/>
  <c r="H654" i="15"/>
  <c r="L657" i="15"/>
  <c r="L632" i="15"/>
  <c r="H661" i="15"/>
  <c r="H653" i="15"/>
  <c r="L656" i="15"/>
  <c r="L610" i="15"/>
  <c r="L631" i="15"/>
  <c r="H660" i="15"/>
  <c r="H652" i="15"/>
  <c r="L655" i="15"/>
  <c r="L629" i="15"/>
  <c r="H659" i="15"/>
  <c r="L651" i="15"/>
  <c r="L654" i="15"/>
  <c r="H658" i="15"/>
  <c r="L653" i="15"/>
  <c r="H637" i="15"/>
  <c r="H657" i="15"/>
  <c r="L652" i="15"/>
  <c r="H651" i="15"/>
  <c r="H656" i="15"/>
  <c r="H614" i="15"/>
  <c r="H635" i="15"/>
  <c r="L630" i="15"/>
  <c r="H629" i="15"/>
  <c r="H634" i="15"/>
  <c r="H641" i="15"/>
  <c r="H633" i="15"/>
  <c r="H640" i="15"/>
  <c r="H632" i="15"/>
  <c r="L635" i="15"/>
  <c r="H639" i="15"/>
  <c r="H631" i="15"/>
  <c r="L634" i="15"/>
  <c r="H638" i="15"/>
  <c r="H630" i="15"/>
  <c r="L633" i="15"/>
  <c r="H613" i="15"/>
  <c r="L608" i="15"/>
  <c r="H607" i="15"/>
  <c r="H612" i="15"/>
  <c r="H619" i="15"/>
  <c r="H611" i="15"/>
  <c r="H618" i="15"/>
  <c r="H610" i="15"/>
  <c r="L613" i="15"/>
  <c r="H617" i="15"/>
  <c r="H609" i="15"/>
  <c r="L612" i="15"/>
  <c r="H616" i="15"/>
  <c r="H608" i="15"/>
  <c r="L611" i="15"/>
  <c r="L583" i="15"/>
  <c r="H592" i="15"/>
  <c r="L582" i="15"/>
  <c r="H588" i="15"/>
  <c r="H587" i="15"/>
  <c r="H584" i="15"/>
  <c r="L580" i="15"/>
  <c r="H566" i="15"/>
  <c r="L560" i="15"/>
  <c r="H586" i="15"/>
  <c r="L581" i="15"/>
  <c r="H565" i="15"/>
  <c r="H580" i="15"/>
  <c r="H585" i="15"/>
  <c r="H563" i="15"/>
  <c r="H569" i="15"/>
  <c r="H561" i="15"/>
  <c r="H591" i="15"/>
  <c r="H583" i="15"/>
  <c r="L586" i="15"/>
  <c r="H558" i="15"/>
  <c r="L558" i="15"/>
  <c r="H590" i="15"/>
  <c r="H582" i="15"/>
  <c r="L585" i="15"/>
  <c r="L561" i="15"/>
  <c r="H589" i="15"/>
  <c r="H581" i="15"/>
  <c r="L519" i="15"/>
  <c r="H564" i="15"/>
  <c r="L559" i="15"/>
  <c r="H524" i="15"/>
  <c r="H570" i="15"/>
  <c r="H562" i="15"/>
  <c r="H522" i="15"/>
  <c r="L564" i="15"/>
  <c r="H516" i="15"/>
  <c r="H568" i="15"/>
  <c r="H560" i="15"/>
  <c r="L563" i="15"/>
  <c r="L514" i="15"/>
  <c r="H567" i="15"/>
  <c r="H559" i="15"/>
  <c r="L562" i="15"/>
  <c r="H544" i="15"/>
  <c r="L536" i="15"/>
  <c r="L539" i="15"/>
  <c r="H543" i="15"/>
  <c r="L538" i="15"/>
  <c r="H525" i="15"/>
  <c r="H542" i="15"/>
  <c r="L537" i="15"/>
  <c r="H548" i="15"/>
  <c r="H540" i="15"/>
  <c r="H536" i="15"/>
  <c r="H541" i="15"/>
  <c r="H521" i="15"/>
  <c r="L517" i="15"/>
  <c r="H547" i="15"/>
  <c r="H539" i="15"/>
  <c r="L542" i="15"/>
  <c r="H520" i="15"/>
  <c r="L515" i="15"/>
  <c r="H546" i="15"/>
  <c r="H538" i="15"/>
  <c r="L541" i="15"/>
  <c r="H545" i="15"/>
  <c r="H537" i="15"/>
  <c r="L540" i="15"/>
  <c r="L516" i="15"/>
  <c r="H514" i="15"/>
  <c r="H519" i="15"/>
  <c r="H526" i="15"/>
  <c r="H518" i="15"/>
  <c r="L520" i="15"/>
  <c r="H523" i="15"/>
  <c r="H515" i="15"/>
  <c r="L518" i="15"/>
  <c r="H383" i="15"/>
  <c r="L402" i="15"/>
  <c r="H431" i="15"/>
  <c r="H423" i="15"/>
  <c r="L468" i="15"/>
  <c r="H498" i="15"/>
  <c r="H497" i="15"/>
  <c r="H489" i="15"/>
  <c r="H496" i="15"/>
  <c r="H488" i="15"/>
  <c r="H495" i="15"/>
  <c r="L487" i="15"/>
  <c r="H499" i="15"/>
  <c r="H491" i="15"/>
  <c r="H494" i="15"/>
  <c r="H493" i="15"/>
  <c r="H490" i="15"/>
  <c r="H487" i="15"/>
  <c r="H492" i="15"/>
  <c r="L467" i="15"/>
  <c r="H473" i="15"/>
  <c r="H472" i="15"/>
  <c r="L465" i="15"/>
  <c r="H443" i="15"/>
  <c r="H471" i="15"/>
  <c r="L466" i="15"/>
  <c r="H451" i="15"/>
  <c r="H465" i="15"/>
  <c r="H470" i="15"/>
  <c r="H448" i="15"/>
  <c r="H477" i="15"/>
  <c r="H469" i="15"/>
  <c r="H377" i="15"/>
  <c r="L443" i="15"/>
  <c r="H476" i="15"/>
  <c r="H468" i="15"/>
  <c r="L471" i="15"/>
  <c r="H475" i="15"/>
  <c r="H467" i="15"/>
  <c r="L470" i="15"/>
  <c r="H474" i="15"/>
  <c r="H466" i="15"/>
  <c r="L469" i="15"/>
  <c r="H450" i="15"/>
  <c r="L445" i="15"/>
  <c r="H449" i="15"/>
  <c r="L444" i="15"/>
  <c r="H455" i="15"/>
  <c r="H447" i="15"/>
  <c r="H454" i="15"/>
  <c r="H446" i="15"/>
  <c r="L449" i="15"/>
  <c r="H453" i="15"/>
  <c r="H445" i="15"/>
  <c r="L448" i="15"/>
  <c r="H452" i="15"/>
  <c r="H444" i="15"/>
  <c r="L447" i="15"/>
  <c r="L381" i="15"/>
  <c r="L380" i="15"/>
  <c r="L399" i="15"/>
  <c r="H385" i="15"/>
  <c r="H387" i="15"/>
  <c r="H432" i="15"/>
  <c r="H424" i="15"/>
  <c r="L427" i="15"/>
  <c r="H430" i="15"/>
  <c r="H422" i="15"/>
  <c r="L425" i="15"/>
  <c r="H339" i="15"/>
  <c r="H361" i="15"/>
  <c r="H378" i="15"/>
  <c r="H429" i="15"/>
  <c r="L421" i="15"/>
  <c r="L424" i="15"/>
  <c r="L377" i="15"/>
  <c r="H428" i="15"/>
  <c r="L423" i="15"/>
  <c r="H427" i="15"/>
  <c r="L422" i="15"/>
  <c r="H421" i="15"/>
  <c r="H426" i="15"/>
  <c r="H433" i="15"/>
  <c r="H425" i="15"/>
  <c r="H406" i="15"/>
  <c r="L401" i="15"/>
  <c r="H386" i="15"/>
  <c r="H405" i="15"/>
  <c r="L400" i="15"/>
  <c r="H382" i="15"/>
  <c r="L378" i="15"/>
  <c r="H410" i="15"/>
  <c r="H402" i="15"/>
  <c r="L405" i="15"/>
  <c r="H399" i="15"/>
  <c r="H379" i="15"/>
  <c r="H409" i="15"/>
  <c r="H401" i="15"/>
  <c r="L404" i="15"/>
  <c r="H404" i="15"/>
  <c r="H411" i="15"/>
  <c r="H403" i="15"/>
  <c r="H408" i="15"/>
  <c r="H400" i="15"/>
  <c r="L403" i="15"/>
  <c r="H362" i="15"/>
  <c r="L357" i="15"/>
  <c r="H343" i="15"/>
  <c r="H356" i="15"/>
  <c r="H384" i="15"/>
  <c r="L379" i="15"/>
  <c r="L355" i="15"/>
  <c r="H336" i="15"/>
  <c r="H389" i="15"/>
  <c r="H381" i="15"/>
  <c r="H338" i="15"/>
  <c r="L338" i="15"/>
  <c r="H365" i="15"/>
  <c r="L360" i="15"/>
  <c r="H388" i="15"/>
  <c r="H380" i="15"/>
  <c r="L383" i="15"/>
  <c r="L334" i="15"/>
  <c r="H364" i="15"/>
  <c r="L359" i="15"/>
  <c r="L382" i="15"/>
  <c r="H363" i="15"/>
  <c r="H335" i="15"/>
  <c r="H360" i="15"/>
  <c r="L356" i="15"/>
  <c r="H355" i="15"/>
  <c r="H359" i="15"/>
  <c r="H333" i="15"/>
  <c r="H367" i="15"/>
  <c r="H358" i="15"/>
  <c r="H344" i="15"/>
  <c r="H366" i="15"/>
  <c r="H357" i="15"/>
  <c r="L361" i="15"/>
  <c r="H340" i="15"/>
  <c r="L335" i="15"/>
  <c r="H345" i="15"/>
  <c r="H337" i="15"/>
  <c r="H342" i="15"/>
  <c r="H334" i="15"/>
  <c r="L337" i="15"/>
  <c r="H341" i="15"/>
  <c r="L333" i="15"/>
  <c r="L336" i="15"/>
  <c r="H310" i="15"/>
  <c r="L313" i="15"/>
  <c r="H308" i="15"/>
  <c r="H318" i="15"/>
  <c r="H313" i="15"/>
  <c r="L287" i="15"/>
  <c r="H320" i="15"/>
  <c r="H312" i="15"/>
  <c r="H319" i="15"/>
  <c r="H311" i="15"/>
  <c r="L314" i="15"/>
  <c r="H317" i="15"/>
  <c r="H309" i="15"/>
  <c r="L312" i="15"/>
  <c r="H316" i="15"/>
  <c r="L308" i="15"/>
  <c r="L311" i="15"/>
  <c r="H315" i="15"/>
  <c r="L310" i="15"/>
  <c r="H314" i="15"/>
  <c r="H293" i="15"/>
  <c r="L288" i="15"/>
  <c r="H291" i="15"/>
  <c r="H298" i="15"/>
  <c r="H290" i="15"/>
  <c r="H286" i="15"/>
  <c r="H297" i="15"/>
  <c r="H289" i="15"/>
  <c r="L292" i="15"/>
  <c r="H296" i="15"/>
  <c r="H288" i="15"/>
  <c r="L291" i="15"/>
  <c r="H295" i="15"/>
  <c r="H287" i="15"/>
  <c r="L290" i="15"/>
  <c r="H294" i="15"/>
  <c r="L286" i="15"/>
  <c r="L289" i="15"/>
  <c r="H276" i="15"/>
  <c r="H268" i="15"/>
  <c r="L270" i="15"/>
  <c r="H270" i="15"/>
  <c r="L265" i="15"/>
  <c r="H264" i="15"/>
  <c r="H269" i="15"/>
  <c r="L269" i="15"/>
  <c r="H273" i="15"/>
  <c r="H265" i="15"/>
  <c r="H272" i="15"/>
  <c r="L264" i="15"/>
  <c r="L267" i="15"/>
  <c r="H275" i="15"/>
  <c r="H267" i="15"/>
  <c r="H274" i="15"/>
  <c r="H266" i="15"/>
  <c r="L268" i="15"/>
  <c r="H271" i="15"/>
  <c r="H202" i="15"/>
  <c r="H194" i="15"/>
  <c r="L197" i="15"/>
  <c r="H204" i="15"/>
  <c r="L199" i="15"/>
  <c r="L198" i="15"/>
  <c r="L247" i="15"/>
  <c r="H201" i="15"/>
  <c r="L193" i="15"/>
  <c r="L196" i="15"/>
  <c r="H200" i="15"/>
  <c r="L195" i="15"/>
  <c r="H205" i="15"/>
  <c r="H197" i="15"/>
  <c r="H199" i="15"/>
  <c r="L194" i="15"/>
  <c r="H196" i="15"/>
  <c r="H203" i="15"/>
  <c r="H195" i="15"/>
  <c r="H193" i="15"/>
  <c r="H198" i="15"/>
  <c r="H244" i="15"/>
  <c r="H252" i="15"/>
  <c r="H250" i="15"/>
  <c r="L242" i="15"/>
  <c r="H242" i="15"/>
  <c r="H247" i="15"/>
  <c r="H254" i="15"/>
  <c r="H246" i="15"/>
  <c r="H253" i="15"/>
  <c r="H245" i="15"/>
  <c r="L248" i="15"/>
  <c r="H243" i="15"/>
  <c r="L245" i="15"/>
  <c r="H251" i="15"/>
  <c r="L246" i="15"/>
  <c r="L244" i="15"/>
  <c r="H249" i="15"/>
  <c r="H248" i="15"/>
  <c r="T212" i="15" l="1"/>
  <c r="T211" i="15"/>
  <c r="T210" i="15"/>
  <c r="T214" i="15"/>
  <c r="B212" i="15"/>
  <c r="B211" i="15"/>
  <c r="B210" i="15"/>
  <c r="B209" i="15"/>
  <c r="L216" i="15" l="1"/>
  <c r="C216" i="15"/>
  <c r="C225" i="15"/>
  <c r="C227" i="15"/>
  <c r="C221" i="15"/>
  <c r="C217" i="15"/>
  <c r="C226" i="15"/>
  <c r="C218" i="15"/>
  <c r="C219" i="15"/>
  <c r="C215" i="15"/>
  <c r="C224" i="15"/>
  <c r="C220" i="15"/>
  <c r="C223" i="15"/>
  <c r="C222" i="15"/>
  <c r="H226" i="15"/>
  <c r="H218" i="15"/>
  <c r="L221" i="15"/>
  <c r="H215" i="15"/>
  <c r="H220" i="15"/>
  <c r="H221" i="15"/>
  <c r="H227" i="15"/>
  <c r="H219" i="15"/>
  <c r="H217" i="15"/>
  <c r="H224" i="15"/>
  <c r="H216" i="15"/>
  <c r="L219" i="15"/>
  <c r="H223" i="15"/>
  <c r="L215" i="15"/>
  <c r="L218" i="15"/>
  <c r="H225" i="15"/>
  <c r="L220" i="15"/>
  <c r="H222" i="15"/>
  <c r="L217" i="15"/>
  <c r="T179" i="3" l="1"/>
  <c r="T203" i="3" l="1"/>
  <c r="T201" i="3"/>
  <c r="T196" i="3"/>
  <c r="T194" i="3"/>
  <c r="T192" i="3"/>
  <c r="T190" i="3"/>
  <c r="T188" i="3"/>
  <c r="T77" i="3"/>
  <c r="T151" i="8"/>
  <c r="T47" i="8"/>
  <c r="T73" i="3"/>
  <c r="T74" i="3"/>
  <c r="T75" i="3"/>
  <c r="T72" i="3"/>
  <c r="T68" i="3"/>
  <c r="B28" i="14"/>
  <c r="B27" i="14"/>
  <c r="B26" i="14"/>
  <c r="B25" i="14"/>
  <c r="T28" i="14"/>
  <c r="T27" i="14"/>
  <c r="T26" i="14"/>
  <c r="T25" i="14"/>
  <c r="T30" i="14"/>
  <c r="T42" i="12"/>
  <c r="T40" i="12"/>
  <c r="T39" i="12"/>
  <c r="B40" i="12"/>
  <c r="B39" i="12"/>
  <c r="B38" i="12"/>
  <c r="B37" i="12"/>
  <c r="L32" i="14" l="1"/>
  <c r="C40" i="14"/>
  <c r="C38" i="14"/>
  <c r="C32" i="14"/>
  <c r="H43" i="14"/>
  <c r="H37" i="14"/>
  <c r="H35" i="14"/>
  <c r="L33" i="14"/>
  <c r="C31" i="14"/>
  <c r="C50" i="12"/>
  <c r="C43" i="12"/>
  <c r="C39" i="14"/>
  <c r="H31" i="14"/>
  <c r="H36" i="14"/>
  <c r="C37" i="14"/>
  <c r="H42" i="14"/>
  <c r="H34" i="14"/>
  <c r="L37" i="14"/>
  <c r="C36" i="14"/>
  <c r="H41" i="14"/>
  <c r="H33" i="14"/>
  <c r="L36" i="14"/>
  <c r="C43" i="14"/>
  <c r="C35" i="14"/>
  <c r="H40" i="14"/>
  <c r="H32" i="14"/>
  <c r="L35" i="14"/>
  <c r="C42" i="14"/>
  <c r="C34" i="14"/>
  <c r="H39" i="14"/>
  <c r="L31" i="14"/>
  <c r="L34" i="14"/>
  <c r="C41" i="14"/>
  <c r="C33" i="14"/>
  <c r="H38" i="14"/>
  <c r="H49" i="12"/>
  <c r="C45" i="12"/>
  <c r="H43" i="12"/>
  <c r="H48" i="12"/>
  <c r="H55" i="12"/>
  <c r="H47" i="12"/>
  <c r="H54" i="12"/>
  <c r="H46" i="12"/>
  <c r="H50" i="12"/>
  <c r="C53" i="12"/>
  <c r="H53" i="12"/>
  <c r="H45" i="12"/>
  <c r="H52" i="12"/>
  <c r="H44" i="12"/>
  <c r="H51" i="12"/>
  <c r="C51" i="12"/>
  <c r="C48" i="12"/>
  <c r="C49" i="12"/>
  <c r="C55" i="12"/>
  <c r="C47" i="12"/>
  <c r="C54" i="12"/>
  <c r="C46" i="12"/>
  <c r="C52" i="12"/>
  <c r="C44" i="12"/>
  <c r="T156" i="15"/>
  <c r="T154" i="15"/>
  <c r="B154" i="15"/>
  <c r="T153" i="15"/>
  <c r="B153" i="15"/>
  <c r="T152" i="15"/>
  <c r="B152" i="15"/>
  <c r="T151" i="15"/>
  <c r="B151" i="15"/>
  <c r="T129" i="15"/>
  <c r="T134" i="15"/>
  <c r="T132" i="15"/>
  <c r="B132" i="15"/>
  <c r="T131" i="15"/>
  <c r="B131" i="15"/>
  <c r="T130" i="15"/>
  <c r="B130" i="15"/>
  <c r="B129" i="15"/>
  <c r="T110" i="15"/>
  <c r="T109" i="15"/>
  <c r="T108" i="15"/>
  <c r="T107" i="15"/>
  <c r="T112" i="15"/>
  <c r="B110" i="15"/>
  <c r="B109" i="15"/>
  <c r="B108" i="15"/>
  <c r="B107" i="15"/>
  <c r="B66" i="15"/>
  <c r="B65" i="15"/>
  <c r="B64" i="15"/>
  <c r="B63" i="15"/>
  <c r="B62" i="15"/>
  <c r="C164" i="15" l="1"/>
  <c r="C158" i="15"/>
  <c r="C169" i="15"/>
  <c r="C165" i="15"/>
  <c r="C166" i="15"/>
  <c r="C159" i="15"/>
  <c r="C167" i="15"/>
  <c r="C157" i="15"/>
  <c r="C160" i="15"/>
  <c r="C168" i="15"/>
  <c r="C162" i="15"/>
  <c r="C163" i="15"/>
  <c r="C161" i="15"/>
  <c r="C73" i="15"/>
  <c r="C81" i="15"/>
  <c r="C71" i="15"/>
  <c r="C74" i="15"/>
  <c r="C69" i="15"/>
  <c r="C75" i="15"/>
  <c r="C70" i="15"/>
  <c r="C76" i="15"/>
  <c r="C79" i="15"/>
  <c r="C80" i="15"/>
  <c r="C77" i="15"/>
  <c r="C78" i="15"/>
  <c r="C72" i="15"/>
  <c r="H145" i="15"/>
  <c r="C138" i="15"/>
  <c r="C146" i="15"/>
  <c r="C140" i="15"/>
  <c r="C144" i="15"/>
  <c r="C139" i="15"/>
  <c r="C147" i="15"/>
  <c r="C135" i="15"/>
  <c r="C137" i="15"/>
  <c r="C141" i="15"/>
  <c r="C136" i="15"/>
  <c r="C145" i="15"/>
  <c r="C142" i="15"/>
  <c r="C143" i="15"/>
  <c r="C119" i="15"/>
  <c r="C121" i="15"/>
  <c r="C120" i="15"/>
  <c r="C117" i="15"/>
  <c r="C113" i="15"/>
  <c r="C114" i="15"/>
  <c r="C122" i="15"/>
  <c r="C124" i="15"/>
  <c r="C115" i="15"/>
  <c r="C123" i="15"/>
  <c r="C116" i="15"/>
  <c r="C125" i="15"/>
  <c r="C118" i="15"/>
  <c r="L160" i="15"/>
  <c r="H157" i="15"/>
  <c r="H164" i="15"/>
  <c r="H162" i="15"/>
  <c r="H144" i="15"/>
  <c r="H137" i="15"/>
  <c r="L159" i="15"/>
  <c r="H136" i="15"/>
  <c r="H117" i="15"/>
  <c r="H138" i="15"/>
  <c r="H163" i="15"/>
  <c r="L158" i="15"/>
  <c r="L141" i="15"/>
  <c r="H168" i="15"/>
  <c r="H160" i="15"/>
  <c r="L163" i="15"/>
  <c r="H116" i="15"/>
  <c r="H169" i="15"/>
  <c r="H161" i="15"/>
  <c r="L119" i="15"/>
  <c r="L140" i="15"/>
  <c r="H167" i="15"/>
  <c r="H159" i="15"/>
  <c r="L162" i="15"/>
  <c r="H115" i="15"/>
  <c r="H125" i="15"/>
  <c r="L118" i="15"/>
  <c r="H146" i="15"/>
  <c r="L139" i="15"/>
  <c r="H166" i="15"/>
  <c r="H158" i="15"/>
  <c r="L161" i="15"/>
  <c r="H123" i="15"/>
  <c r="H124" i="15"/>
  <c r="H165" i="15"/>
  <c r="L157" i="15"/>
  <c r="H122" i="15"/>
  <c r="H114" i="15"/>
  <c r="L117" i="15"/>
  <c r="H143" i="15"/>
  <c r="L135" i="15"/>
  <c r="L138" i="15"/>
  <c r="H121" i="15"/>
  <c r="L113" i="15"/>
  <c r="L116" i="15"/>
  <c r="H142" i="15"/>
  <c r="L137" i="15"/>
  <c r="H120" i="15"/>
  <c r="L115" i="15"/>
  <c r="H141" i="15"/>
  <c r="L136" i="15"/>
  <c r="H119" i="15"/>
  <c r="L114" i="15"/>
  <c r="H135" i="15"/>
  <c r="H140" i="15"/>
  <c r="H113" i="15"/>
  <c r="H118" i="15"/>
  <c r="H147" i="15"/>
  <c r="H139" i="15"/>
  <c r="B40" i="15" l="1"/>
  <c r="B39" i="15"/>
  <c r="B38" i="15"/>
  <c r="B37" i="15"/>
  <c r="B18" i="15"/>
  <c r="B17" i="15"/>
  <c r="B16" i="15"/>
  <c r="B15" i="15"/>
  <c r="T68" i="15"/>
  <c r="T42" i="15"/>
  <c r="T40" i="15"/>
  <c r="T39" i="15"/>
  <c r="T38" i="15"/>
  <c r="T37" i="15"/>
  <c r="H52" i="15" l="1"/>
  <c r="C48" i="15"/>
  <c r="C50" i="15"/>
  <c r="C45" i="15"/>
  <c r="C49" i="15"/>
  <c r="C51" i="15"/>
  <c r="C46" i="15"/>
  <c r="C47" i="15"/>
  <c r="C43" i="15"/>
  <c r="C52" i="15"/>
  <c r="C44" i="15"/>
  <c r="C53" i="15"/>
  <c r="C54" i="15"/>
  <c r="C55" i="15"/>
  <c r="L72" i="15"/>
  <c r="H81" i="15"/>
  <c r="H78" i="15"/>
  <c r="L73" i="15"/>
  <c r="L70" i="15"/>
  <c r="L71" i="15"/>
  <c r="H73" i="15"/>
  <c r="H76" i="15"/>
  <c r="H75" i="15"/>
  <c r="H70" i="15"/>
  <c r="H69" i="15"/>
  <c r="H74" i="15"/>
  <c r="H80" i="15"/>
  <c r="H72" i="15"/>
  <c r="L75" i="15"/>
  <c r="H79" i="15"/>
  <c r="H71" i="15"/>
  <c r="L74" i="15"/>
  <c r="H77" i="15"/>
  <c r="L69" i="15"/>
  <c r="H43" i="15"/>
  <c r="H49" i="15"/>
  <c r="H55" i="15"/>
  <c r="H44" i="15"/>
  <c r="L49" i="15"/>
  <c r="L44" i="15"/>
  <c r="H47" i="15"/>
  <c r="L47" i="15"/>
  <c r="H50" i="15"/>
  <c r="H45" i="15"/>
  <c r="L48" i="15"/>
  <c r="H51" i="15"/>
  <c r="H53" i="15"/>
  <c r="L45" i="15"/>
  <c r="L43" i="15"/>
  <c r="H46" i="15"/>
  <c r="H54" i="15"/>
  <c r="H48" i="15"/>
  <c r="L46" i="15"/>
  <c r="T18" i="15"/>
  <c r="T17" i="15"/>
  <c r="T16" i="15"/>
  <c r="T15" i="15"/>
  <c r="T6" i="15" s="1"/>
  <c r="T253" i="8"/>
  <c r="T251" i="8"/>
  <c r="T257" i="8"/>
  <c r="T255" i="8"/>
  <c r="G5" i="14"/>
  <c r="G5" i="15"/>
  <c r="S3" i="14"/>
  <c r="S3" i="15"/>
  <c r="S3" i="12"/>
  <c r="S3" i="8"/>
  <c r="T13" i="14"/>
  <c r="T171" i="3" a="1"/>
  <c r="T171" i="3" s="1"/>
  <c r="T254" i="8" l="1"/>
  <c r="T252" i="8"/>
  <c r="T256" i="8"/>
  <c r="T250" i="8"/>
  <c r="C26" i="15"/>
  <c r="C21" i="15"/>
  <c r="H26" i="15"/>
  <c r="H21" i="15"/>
  <c r="C22" i="15"/>
  <c r="C30" i="15"/>
  <c r="H22" i="15"/>
  <c r="H30" i="15"/>
  <c r="H31" i="15"/>
  <c r="H32" i="15"/>
  <c r="C25" i="15"/>
  <c r="C33" i="15"/>
  <c r="H33" i="15"/>
  <c r="C27" i="15"/>
  <c r="L23" i="15"/>
  <c r="H27" i="15"/>
  <c r="C23" i="15"/>
  <c r="C31" i="15"/>
  <c r="H23" i="15"/>
  <c r="C24" i="15"/>
  <c r="H24" i="15"/>
  <c r="C28" i="15"/>
  <c r="L22" i="15"/>
  <c r="H28" i="15"/>
  <c r="C32" i="15"/>
  <c r="C29" i="15"/>
  <c r="L21" i="15"/>
  <c r="H29" i="15"/>
  <c r="H25" i="15"/>
  <c r="T13" i="12"/>
  <c r="C29" i="1" l="1"/>
  <c r="C28" i="1"/>
  <c r="C27" i="1"/>
  <c r="C26" i="1"/>
  <c r="C25" i="1"/>
  <c r="T48" i="14" l="1"/>
  <c r="T45" i="14"/>
  <c r="T21" i="14"/>
  <c r="T17" i="14" l="1"/>
  <c r="T15" i="14"/>
  <c r="T14" i="14"/>
  <c r="T5" i="14" s="1"/>
  <c r="G15" i="4" l="1"/>
  <c r="H15" i="4"/>
  <c r="F15" i="4"/>
  <c r="I15" i="4"/>
  <c r="T177" i="12"/>
  <c r="T196" i="12"/>
  <c r="T195" i="12"/>
  <c r="R194" i="12"/>
  <c r="T187" i="12"/>
  <c r="T186" i="12"/>
  <c r="R185" i="12"/>
  <c r="T170" i="12"/>
  <c r="T169" i="12"/>
  <c r="R168" i="12"/>
  <c r="T161" i="12"/>
  <c r="T160" i="12"/>
  <c r="R159" i="12"/>
  <c r="T152" i="12"/>
  <c r="T151" i="12"/>
  <c r="T149" i="12"/>
  <c r="T148" i="12"/>
  <c r="T145" i="12"/>
  <c r="T143" i="12"/>
  <c r="T142" i="12"/>
  <c r="T133" i="12"/>
  <c r="T132" i="12"/>
  <c r="R131" i="12"/>
  <c r="R102" i="12"/>
  <c r="R90" i="12"/>
  <c r="R86" i="12"/>
  <c r="R71" i="12"/>
  <c r="R15" i="12"/>
  <c r="T124" i="12"/>
  <c r="T123" i="12"/>
  <c r="T115" i="12"/>
  <c r="T114" i="12"/>
  <c r="T106" i="12"/>
  <c r="T100" i="12"/>
  <c r="T104" i="12"/>
  <c r="T103" i="12"/>
  <c r="T98" i="12"/>
  <c r="T96" i="12"/>
  <c r="T94" i="12"/>
  <c r="T92" i="12"/>
  <c r="T91" i="12"/>
  <c r="T88" i="12"/>
  <c r="T75" i="12"/>
  <c r="T73" i="12"/>
  <c r="T72" i="12"/>
  <c r="T69" i="12"/>
  <c r="T67" i="12"/>
  <c r="T65" i="12"/>
  <c r="D15" i="4" l="1"/>
  <c r="T57" i="12"/>
  <c r="T63" i="12"/>
  <c r="T61" i="12"/>
  <c r="T59" i="12"/>
  <c r="T31" i="12"/>
  <c r="T33" i="12"/>
  <c r="T29" i="12"/>
  <c r="T27" i="12"/>
  <c r="T25" i="12"/>
  <c r="T23" i="12"/>
  <c r="T21" i="12"/>
  <c r="T19" i="12"/>
  <c r="T17" i="12"/>
  <c r="T16" i="12"/>
  <c r="T5" i="12" l="1"/>
  <c r="T310" i="8"/>
  <c r="T303" i="8"/>
  <c r="T300" i="8"/>
  <c r="T291" i="8"/>
  <c r="T288" i="8"/>
  <c r="T103" i="8"/>
  <c r="T279" i="8"/>
  <c r="T280" i="8"/>
  <c r="T270" i="8"/>
  <c r="T263" i="8"/>
  <c r="T260" i="8"/>
  <c r="T259" i="8" s="1"/>
  <c r="T240" i="8"/>
  <c r="T232" i="8"/>
  <c r="T230" i="8"/>
  <c r="T302" i="8" l="1"/>
  <c r="T287" i="8"/>
  <c r="T299" i="8"/>
  <c r="T262" i="8"/>
  <c r="T290" i="8"/>
  <c r="T223" i="8"/>
  <c r="T220" i="8"/>
  <c r="T217" i="8"/>
  <c r="T214" i="8"/>
  <c r="T212" i="8"/>
  <c r="T210" i="8"/>
  <c r="T208" i="8"/>
  <c r="T205" i="8"/>
  <c r="T203" i="8"/>
  <c r="T183" i="8"/>
  <c r="T198" i="8"/>
  <c r="T201" i="8"/>
  <c r="T200" i="8" s="1"/>
  <c r="T195" i="8"/>
  <c r="T187" i="8"/>
  <c r="T185" i="8"/>
  <c r="T181" i="8"/>
  <c r="T179" i="8"/>
  <c r="T177" i="8"/>
  <c r="T175" i="8"/>
  <c r="T167" i="8"/>
  <c r="T165" i="8"/>
  <c r="T163" i="8"/>
  <c r="T161" i="8"/>
  <c r="T159" i="8"/>
  <c r="T155" i="8"/>
  <c r="T153" i="8"/>
  <c r="T149" i="8"/>
  <c r="T110" i="3"/>
  <c r="T145" i="8"/>
  <c r="T143" i="8"/>
  <c r="T141" i="8"/>
  <c r="T137" i="8"/>
  <c r="T139" i="8"/>
  <c r="T135" i="8"/>
  <c r="T131" i="8"/>
  <c r="T127" i="8"/>
  <c r="T123" i="8"/>
  <c r="T133" i="8"/>
  <c r="T129" i="8"/>
  <c r="T125" i="8"/>
  <c r="T121" i="8"/>
  <c r="T119" i="8"/>
  <c r="T169" i="8" l="1"/>
  <c r="T194" i="8"/>
  <c r="T197" i="8"/>
  <c r="T216" i="8"/>
  <c r="T219" i="8"/>
  <c r="T222" i="8"/>
  <c r="T207" i="8"/>
  <c r="T117" i="8"/>
  <c r="T115" i="8"/>
  <c r="T107" i="8"/>
  <c r="T105" i="8"/>
  <c r="T113" i="8"/>
  <c r="T111" i="8"/>
  <c r="T109" i="8"/>
  <c r="T172" i="8" l="1"/>
  <c r="T173" i="8"/>
  <c r="T97" i="8"/>
  <c r="T95" i="8" l="1"/>
  <c r="T91" i="8"/>
  <c r="T84" i="8" s="1" a="1"/>
  <c r="T84" i="8" s="1"/>
  <c r="T82" i="8"/>
  <c r="T69" i="8"/>
  <c r="T62" i="8" s="1" a="1"/>
  <c r="T62" i="8" s="1"/>
  <c r="T55" i="8" l="1"/>
  <c r="T50" i="8"/>
  <c r="T49" i="8" s="1"/>
  <c r="T53" i="8"/>
  <c r="T43" i="8"/>
  <c r="T37" i="8"/>
  <c r="T35" i="8"/>
  <c r="T31" i="8"/>
  <c r="T33" i="8"/>
  <c r="T27" i="8"/>
  <c r="T52" i="8" l="1"/>
  <c r="T5" i="8" s="1"/>
  <c r="H13" i="4" l="1"/>
  <c r="G13" i="4"/>
  <c r="I13" i="4"/>
  <c r="G12" i="4"/>
  <c r="I12" i="4"/>
  <c r="F12" i="4"/>
  <c r="H12" i="4"/>
  <c r="F13" i="4"/>
  <c r="T262" i="3"/>
  <c r="T232" i="3"/>
  <c r="T221" i="3"/>
  <c r="T223" i="3"/>
  <c r="D13" i="4" l="1"/>
  <c r="D12" i="4"/>
  <c r="J12" i="4"/>
  <c r="T214" i="3"/>
  <c r="T219" i="3" l="1"/>
  <c r="T212" i="3"/>
  <c r="T186" i="3"/>
  <c r="T157" i="3" l="1"/>
  <c r="T153" i="3"/>
  <c r="T139" i="3"/>
  <c r="T114" i="3"/>
  <c r="T105" i="3" l="1"/>
  <c r="T103" i="3"/>
  <c r="T96" i="3"/>
  <c r="T46" i="3" l="1"/>
  <c r="T117" i="3" l="1"/>
  <c r="T130" i="3"/>
  <c r="T132" i="3"/>
  <c r="T124" i="3"/>
  <c r="T321" i="3"/>
  <c r="T319" i="3"/>
  <c r="T317" i="3"/>
  <c r="T311" i="3"/>
  <c r="T304" i="3"/>
  <c r="T266" i="3"/>
  <c r="T264" i="3"/>
  <c r="T227" i="3"/>
  <c r="T210" i="3"/>
  <c r="T169" i="3"/>
  <c r="T167" i="3"/>
  <c r="T165" i="3"/>
  <c r="T159" i="3"/>
  <c r="T155" i="3"/>
  <c r="T44" i="3" l="1"/>
  <c r="T37" i="3" l="1"/>
  <c r="T33" i="3"/>
  <c r="T19" i="3"/>
  <c r="T27" i="3"/>
  <c r="T25" i="3"/>
  <c r="T23" i="3" l="1"/>
  <c r="T15" i="3"/>
  <c r="T13" i="3"/>
  <c r="T5" i="3" s="1"/>
  <c r="G5" i="3"/>
  <c r="D15" i="1"/>
  <c r="S3" i="3"/>
  <c r="E13" i="4"/>
  <c r="E15" i="4"/>
  <c r="K3" i="4"/>
  <c r="D13" i="1"/>
  <c r="F11" i="1"/>
  <c r="G6" i="8" l="1"/>
  <c r="G6" i="16"/>
  <c r="G6" i="12"/>
  <c r="G6" i="15"/>
  <c r="G6" i="14"/>
  <c r="F11" i="4"/>
  <c r="I11" i="4"/>
  <c r="G6" i="3"/>
  <c r="E12" i="4"/>
  <c r="F9" i="4" l="1"/>
  <c r="G9" i="4"/>
  <c r="I9" i="4"/>
  <c r="H9" i="4"/>
  <c r="D9" i="4" l="1"/>
  <c r="E9" i="4" s="1"/>
  <c r="J9" i="4"/>
  <c r="G11" i="4"/>
  <c r="H11" i="4"/>
  <c r="D11" i="4" l="1"/>
  <c r="E11" i="4" s="1"/>
  <c r="J11" i="4"/>
  <c r="G10" i="4"/>
  <c r="D10" i="4" s="1"/>
  <c r="E10" i="4" s="1"/>
  <c r="H10" i="4"/>
  <c r="G14" i="4"/>
  <c r="H14" i="4"/>
  <c r="I14" i="4"/>
  <c r="F14" i="4"/>
  <c r="D14" i="4" l="1"/>
  <c r="E1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<sst xmlns="http://schemas.openxmlformats.org/spreadsheetml/2006/main" count="5126" uniqueCount="1391">
  <si>
    <t>Financial Institutions Risk Evaluation Questionnaire</t>
  </si>
  <si>
    <t>Name of Subject Person</t>
  </si>
  <si>
    <t>SubjectPersonId</t>
  </si>
  <si>
    <t>Truevo Payments Ltd</t>
  </si>
  <si>
    <t>Papaya Limited</t>
  </si>
  <si>
    <t>Global Payments Limited</t>
  </si>
  <si>
    <t>FinXP Ltd</t>
  </si>
  <si>
    <t>dLocal Limited</t>
  </si>
  <si>
    <t>CONVERA MALTA FINANCIAL LIMITED</t>
  </si>
  <si>
    <t>Payscout Limited</t>
  </si>
  <si>
    <t>Trust Payments (Malta) Limited</t>
  </si>
  <si>
    <t>handi.cash Limited</t>
  </si>
  <si>
    <t>Moneybase Limited</t>
  </si>
  <si>
    <t>Em@ney plc</t>
  </si>
  <si>
    <t>OTP Financing Malta Company Ltd</t>
  </si>
  <si>
    <t>Finance House plc</t>
  </si>
  <si>
    <t>System Pay Services (Malta) Limited</t>
  </si>
  <si>
    <t>Fexserv Financial Services Limited</t>
  </si>
  <si>
    <t>Fraport Malta Business Services Limited</t>
  </si>
  <si>
    <t>SysPay Limited</t>
  </si>
  <si>
    <t>KBC Euro Credit Limited</t>
  </si>
  <si>
    <t>Finductive Limited</t>
  </si>
  <si>
    <t>W. &amp; J. Coppini &amp; Co.</t>
  </si>
  <si>
    <t>PaybyPago Limited</t>
  </si>
  <si>
    <t>MiFinity Malta Limited</t>
  </si>
  <si>
    <t>Transact Payments Malta Limited</t>
  </si>
  <si>
    <t>C2D Payment Solutions Limited</t>
  </si>
  <si>
    <t>Andaria Financial Services Limited</t>
  </si>
  <si>
    <t>Koala Money Limited</t>
  </si>
  <si>
    <t>Foris MT Limited</t>
  </si>
  <si>
    <t>Ixaris Financial Services Malta Limited</t>
  </si>
  <si>
    <t>eToro Money Malta Ltd</t>
  </si>
  <si>
    <t>SGM Foreign Exchange Malta Limited</t>
  </si>
  <si>
    <t>StablR Ltd.</t>
  </si>
  <si>
    <t>Trumia Limited</t>
  </si>
  <si>
    <t>BP23 PAY LTD.</t>
  </si>
  <si>
    <t>Ballinger Europe Limited</t>
  </si>
  <si>
    <t>Liquiditas LTD</t>
  </si>
  <si>
    <t>Xace Malta Ltd.</t>
  </si>
  <si>
    <t>Name</t>
  </si>
  <si>
    <t>v:1.0</t>
  </si>
  <si>
    <t>Financial Sector (Financial Institutions)</t>
  </si>
  <si>
    <t>Index Sheet &amp; Validations</t>
  </si>
  <si>
    <t>Total Validation Checks</t>
  </si>
  <si>
    <t>Error Validations</t>
  </si>
  <si>
    <t>To Confirm Data Entry</t>
  </si>
  <si>
    <t>Positive Validations</t>
  </si>
  <si>
    <t>Cover Sheet</t>
  </si>
  <si>
    <t>G</t>
  </si>
  <si>
    <t>Y</t>
  </si>
  <si>
    <t>R</t>
  </si>
  <si>
    <t>Reporting Period</t>
  </si>
  <si>
    <t>Sectors</t>
  </si>
  <si>
    <t>Licence Holder</t>
  </si>
  <si>
    <t>Period</t>
  </si>
  <si>
    <t>1)</t>
  </si>
  <si>
    <t xml:space="preserve">MLRO,  Monitoring Function and Employees </t>
  </si>
  <si>
    <t>FI-MF-01</t>
  </si>
  <si>
    <t>FI-MF-02</t>
  </si>
  <si>
    <t>FI-MF-03</t>
  </si>
  <si>
    <t>FI-MF-04</t>
  </si>
  <si>
    <t>FI-MF-05</t>
  </si>
  <si>
    <t>FI-MF-06</t>
  </si>
  <si>
    <t>FI-MF-09</t>
  </si>
  <si>
    <t>FI-MF-10</t>
  </si>
  <si>
    <t>FI-MF-11</t>
  </si>
  <si>
    <t>FI-MF-12</t>
  </si>
  <si>
    <t>FI-MF-13</t>
  </si>
  <si>
    <t>FI-MF-14</t>
  </si>
  <si>
    <t>FI-MF-15</t>
  </si>
  <si>
    <t>FI-MF-16</t>
  </si>
  <si>
    <t>How many hours do you dedicate to the MLRO function on a weekly basis?</t>
  </si>
  <si>
    <t>Is the MLRO responsible for other areas other than AML/CFT within the entity?</t>
  </si>
  <si>
    <t>Please provide a description of the other areas of responsibility.</t>
  </si>
  <si>
    <t>Does the MLRO have a direct reporting line to the Board of Directors?</t>
  </si>
  <si>
    <t>Has the entity appointed an officer at management level to monitor the day-to-day implementation of the AML/CFT measures, policies, controls and procedures adopted by the entity?</t>
  </si>
  <si>
    <t>On average, how many years of experience in the industry does the director(s) and/or senior management of your entity have?</t>
  </si>
  <si>
    <t>6 months - 1 year ago</t>
  </si>
  <si>
    <t>1 - 2 years ago</t>
  </si>
  <si>
    <t>over 4 years ago</t>
  </si>
  <si>
    <t>over 10 years</t>
  </si>
  <si>
    <t>2 - 3 years ago</t>
  </si>
  <si>
    <t>3 - 4 years ago</t>
  </si>
  <si>
    <t>1 - 2 years</t>
  </si>
  <si>
    <t>1 - 6 months ago</t>
  </si>
  <si>
    <t>0 - 10 hours</t>
  </si>
  <si>
    <t>11 - 20 hours</t>
  </si>
  <si>
    <t>21 - 30 hours</t>
  </si>
  <si>
    <t>31 - 40 hours</t>
  </si>
  <si>
    <t>Yes/No Answers</t>
  </si>
  <si>
    <t>Yes</t>
  </si>
  <si>
    <t>No</t>
  </si>
  <si>
    <t>2)</t>
  </si>
  <si>
    <t>Outsourcing</t>
  </si>
  <si>
    <t>FI-OS-01</t>
  </si>
  <si>
    <t>FI-OS-02</t>
  </si>
  <si>
    <t>FI-OS-03</t>
  </si>
  <si>
    <t>FI-OS-04</t>
  </si>
  <si>
    <t>FI-OS-05</t>
  </si>
  <si>
    <t>FI-OS-06</t>
  </si>
  <si>
    <t>3)</t>
  </si>
  <si>
    <t>Policies and Procedures</t>
  </si>
  <si>
    <t>How do you determine whether individuals/entities are sanctioned?</t>
  </si>
  <si>
    <t>Does your entity have internal whistleblowing procedures?</t>
  </si>
  <si>
    <t>What is the frequency of audits carried out by the independent audit function to assess compliance with the AML/CFT regulations ?</t>
  </si>
  <si>
    <t>FI-PP-01</t>
  </si>
  <si>
    <t>FI-PP-02</t>
  </si>
  <si>
    <t>FI-PP-03</t>
  </si>
  <si>
    <t>FI-PP-06</t>
  </si>
  <si>
    <t>FI-PP-07</t>
  </si>
  <si>
    <t>FI-PP-08</t>
  </si>
  <si>
    <t>FI-PP-09</t>
  </si>
  <si>
    <t>FI-PP-10</t>
  </si>
  <si>
    <t>FI-PP-11</t>
  </si>
  <si>
    <t>FI-PP-12</t>
  </si>
  <si>
    <t>FI-PP-13</t>
  </si>
  <si>
    <t>FI-PP-14</t>
  </si>
  <si>
    <t>FI-PP-15</t>
  </si>
  <si>
    <t>FI-PP-16</t>
  </si>
  <si>
    <t>a) No checks carried out</t>
  </si>
  <si>
    <t>Not Applicable (no reliance is placed)</t>
  </si>
  <si>
    <t>Not Applicable (no intermediaries, etc, are in use)</t>
  </si>
  <si>
    <t>Monthly</t>
  </si>
  <si>
    <t>Quarterly</t>
  </si>
  <si>
    <t>Half Yearly</t>
  </si>
  <si>
    <t>Yearly</t>
  </si>
  <si>
    <t>Every 2 years</t>
  </si>
  <si>
    <t>Over 2 years</t>
  </si>
  <si>
    <t>Never</t>
  </si>
  <si>
    <t>1 month ago</t>
  </si>
  <si>
    <t>Internal audit not yet performed</t>
  </si>
  <si>
    <t>Over 2 years go</t>
  </si>
  <si>
    <t>2 - 3 months ago</t>
  </si>
  <si>
    <t>4 - 6 months ago</t>
  </si>
  <si>
    <t>7 - 12 months ago</t>
  </si>
  <si>
    <t>Not Applicable</t>
  </si>
  <si>
    <t>Business Risk Assessment</t>
  </si>
  <si>
    <t>4)</t>
  </si>
  <si>
    <t>FI-BR-01</t>
  </si>
  <si>
    <t>FI-BR-02</t>
  </si>
  <si>
    <t>FI-BR-03</t>
  </si>
  <si>
    <t>FI-BR-04</t>
  </si>
  <si>
    <t>FI-BR-05</t>
  </si>
  <si>
    <t>FI-BR-06</t>
  </si>
  <si>
    <t>FI-BR-07</t>
  </si>
  <si>
    <t>FI-BR-08</t>
  </si>
  <si>
    <t>FI-BR-09</t>
  </si>
  <si>
    <t>Low</t>
  </si>
  <si>
    <t>Lower Medium</t>
  </si>
  <si>
    <t>Higher Medium</t>
  </si>
  <si>
    <t>High</t>
  </si>
  <si>
    <t>Very High</t>
  </si>
  <si>
    <t>Risk Rating</t>
  </si>
  <si>
    <t>5)</t>
  </si>
  <si>
    <t>List the 5 risk factors that have the highest risk weighting when carrying out the CRA.</t>
  </si>
  <si>
    <t>What were the main reasons why potential customers were refused onboarding for ML/FT reasons?</t>
  </si>
  <si>
    <t>b) Medium Risk Customers</t>
  </si>
  <si>
    <t>What was the reason for the de-risking exercise?</t>
  </si>
  <si>
    <t>FI-CA-01</t>
  </si>
  <si>
    <t>FI-CA-02</t>
  </si>
  <si>
    <t>FI-CA-03</t>
  </si>
  <si>
    <t>FI-CA-04</t>
  </si>
  <si>
    <t>FI-CA-05</t>
  </si>
  <si>
    <t>FI-CA-06</t>
  </si>
  <si>
    <t>FI-CA-07</t>
  </si>
  <si>
    <t>FI-CA-08</t>
  </si>
  <si>
    <t>FI-CA-09</t>
  </si>
  <si>
    <t>FI-CA-10</t>
  </si>
  <si>
    <t>FI-CA-11</t>
  </si>
  <si>
    <t>FI-CA-12</t>
  </si>
  <si>
    <t>FI-CA-13</t>
  </si>
  <si>
    <t>FI-CA-14</t>
  </si>
  <si>
    <t>FI-CA-15</t>
  </si>
  <si>
    <t>FI-CA-16</t>
  </si>
  <si>
    <t>FI-CA-17</t>
  </si>
  <si>
    <t>Yes - most of the times</t>
  </si>
  <si>
    <t>Yes - sometimes</t>
  </si>
  <si>
    <t>N/A (no intermediaries, etc, are used)</t>
  </si>
  <si>
    <t>Always</t>
  </si>
  <si>
    <t>Most of the time</t>
  </si>
  <si>
    <t>Usually</t>
  </si>
  <si>
    <t>Occasionally</t>
  </si>
  <si>
    <t>Money broking</t>
  </si>
  <si>
    <t>Guarantees and commitments</t>
  </si>
  <si>
    <t>6)</t>
  </si>
  <si>
    <t>Multiple</t>
  </si>
  <si>
    <t>N/A (the entity does not have customer who are legal persons)</t>
  </si>
  <si>
    <t>7)</t>
  </si>
  <si>
    <t>8)</t>
  </si>
  <si>
    <t>Ongoing monitoring (data, documents and information)</t>
  </si>
  <si>
    <t>Where a business relationship is established, how frequently are the customers and/or related parties subject to a review and update of information?</t>
  </si>
  <si>
    <t>a) High Risk Customers</t>
  </si>
  <si>
    <t>c) Low Risk Customers</t>
  </si>
  <si>
    <t>More than every 3 years</t>
  </si>
  <si>
    <t>Every 2 - 3 years</t>
  </si>
  <si>
    <t>At least annually</t>
  </si>
  <si>
    <t>FI-MD-01</t>
  </si>
  <si>
    <t>FI-MD-02</t>
  </si>
  <si>
    <t>FI-MD-03</t>
  </si>
  <si>
    <t>Through what means are customers and/or beneficial owners subject to periodic adverse media screening?</t>
  </si>
  <si>
    <t>FI-MD-05</t>
  </si>
  <si>
    <t>FI-MD-04</t>
  </si>
  <si>
    <t>c) Public searches</t>
  </si>
  <si>
    <t>9)</t>
  </si>
  <si>
    <t>How many fund transfers, with missing or incomplete information, did your entity detect in the prior calendar year?</t>
  </si>
  <si>
    <t>How many of these transfer of funds did your entity suspend or refuse to execute?</t>
  </si>
  <si>
    <t>Did your entity terminate any relationship with a payment service provider in the prior calendar year, due to the provider repeatedly failing to provide the necessary information on the payer and/or payee?</t>
  </si>
  <si>
    <t>Does your entity have a documented methodology for transaction monitoring, where a business relationship is present?</t>
  </si>
  <si>
    <t>In case of a business relationship, are processes and/or systems for monitoring transactions fully automated, partially automated or manual?</t>
  </si>
  <si>
    <t>How often are the criteria and rules utilised by the monitoring system reviewed and updated?</t>
  </si>
  <si>
    <t>Please explain which transactions are subject to real-time monitoring?</t>
  </si>
  <si>
    <t>What is the average time allowed (in days) to clear any transaction monitoring alerts?</t>
  </si>
  <si>
    <t>How many transaction monitoring alerts were triggered last calendar year, but not yet closed by end of January of this calendar year?</t>
  </si>
  <si>
    <t>FI-TM-01</t>
  </si>
  <si>
    <t>FI-TM-02</t>
  </si>
  <si>
    <t>FI-TM-03</t>
  </si>
  <si>
    <t>FI-TM-04</t>
  </si>
  <si>
    <t>FI-TM-05</t>
  </si>
  <si>
    <t>FI-TM-06</t>
  </si>
  <si>
    <t>FI-TM-07</t>
  </si>
  <si>
    <t>FI-TM-08</t>
  </si>
  <si>
    <t>FI-TM-09</t>
  </si>
  <si>
    <t>FI-TM-10</t>
  </si>
  <si>
    <t>FI-TM-11</t>
  </si>
  <si>
    <t>FI-TM-12</t>
  </si>
  <si>
    <t>FI-TM-13</t>
  </si>
  <si>
    <t>Real-time</t>
  </si>
  <si>
    <t>Post-event</t>
  </si>
  <si>
    <t>Yes (always)</t>
  </si>
  <si>
    <t>Yes (risk-based)</t>
  </si>
  <si>
    <t xml:space="preserve">No </t>
  </si>
  <si>
    <t>Reporting</t>
  </si>
  <si>
    <t>FI-RE-02</t>
  </si>
  <si>
    <t>FI-RE-03</t>
  </si>
  <si>
    <t>FI-RE-04</t>
  </si>
  <si>
    <t>FI-RE-06</t>
  </si>
  <si>
    <t>FI-RE-07</t>
  </si>
  <si>
    <t>Not Applicable (there were no cases where internal reports escalated did not result in STR submission to the FIAU)</t>
  </si>
  <si>
    <t>Training</t>
  </si>
  <si>
    <t>FI-TR-06</t>
  </si>
  <si>
    <t>FI-TR-07</t>
  </si>
  <si>
    <t>FI-TR-08</t>
  </si>
  <si>
    <t>FI-TR-09</t>
  </si>
  <si>
    <t>FI-TR-10</t>
  </si>
  <si>
    <t>FI-TR-11</t>
  </si>
  <si>
    <t>Record-keeping</t>
  </si>
  <si>
    <t>Are records relating to CDD measures applied on customers retained physically or in electronic format?</t>
  </si>
  <si>
    <t>FI-RK-01</t>
  </si>
  <si>
    <t>FI-RK-03</t>
  </si>
  <si>
    <t>Physically</t>
  </si>
  <si>
    <t>Electronic format</t>
  </si>
  <si>
    <t>Both physically and in electronic format</t>
  </si>
  <si>
    <t>Risk Evaluation Questionnaire - Controls</t>
  </si>
  <si>
    <t>How many years of experience does the MLRO have in AML/CFT?</t>
  </si>
  <si>
    <t>Yes, within the same group structure</t>
  </si>
  <si>
    <t>Yes, outside of the group structure</t>
  </si>
  <si>
    <t>Yes - The function is carried out by the MLRO</t>
  </si>
  <si>
    <t>Yes - The function is carried out by a person who it not also acting as the entity's MLRO</t>
  </si>
  <si>
    <t>At onboarding only</t>
  </si>
  <si>
    <t>At onboarding and at least yearly</t>
  </si>
  <si>
    <t>Not assessed</t>
  </si>
  <si>
    <t>Yes, outsourcing within the group</t>
  </si>
  <si>
    <t>Yes, outsourcing outside the group</t>
  </si>
  <si>
    <t>No outsourcing being carried out</t>
  </si>
  <si>
    <t>CRA</t>
  </si>
  <si>
    <t>CDD - PMLFTR Reg 7(1)(c)</t>
  </si>
  <si>
    <t>CDD - PMLFTR Reg 7(2)(a)</t>
  </si>
  <si>
    <t>CDD - PMLFTR Reg 7(2)(b)</t>
  </si>
  <si>
    <t>Record-Keeping</t>
  </si>
  <si>
    <t>Drafting of policies and procedures</t>
  </si>
  <si>
    <t>MLRO function</t>
  </si>
  <si>
    <t>CDD - PMLFTR Reg 7(1)(a) and 7(1)(b)</t>
  </si>
  <si>
    <t>FI-OS-04-01</t>
  </si>
  <si>
    <t>FI-OS-04-02</t>
  </si>
  <si>
    <t>FI-OS-04-03</t>
  </si>
  <si>
    <t>FI-OS-04-04</t>
  </si>
  <si>
    <t>FI-OS-04-05</t>
  </si>
  <si>
    <t>FI-OS-04-06</t>
  </si>
  <si>
    <t>FI-OS-04-07</t>
  </si>
  <si>
    <t>FI-OS-04-08</t>
  </si>
  <si>
    <t>FI-PP-03-01</t>
  </si>
  <si>
    <t>FI-PP-03-03</t>
  </si>
  <si>
    <t>FI-PP-03-04</t>
  </si>
  <si>
    <t>FI-PP-03-05</t>
  </si>
  <si>
    <t>Approximately on a daily basis</t>
  </si>
  <si>
    <t>Weekly or bi-weekly basis</t>
  </si>
  <si>
    <t>Monthly basis</t>
  </si>
  <si>
    <t>Quarterly basis</t>
  </si>
  <si>
    <t>Half yearly</t>
  </si>
  <si>
    <t>FI-OS-03-01</t>
  </si>
  <si>
    <t>FI-OS-03-02</t>
  </si>
  <si>
    <t>FI-OS-03-03</t>
  </si>
  <si>
    <t>FI-OS-03-04</t>
  </si>
  <si>
    <t>FI-OS-03-05</t>
  </si>
  <si>
    <t>FI-OS-03-06</t>
  </si>
  <si>
    <t>FI-OS-03-07</t>
  </si>
  <si>
    <t>FI-OS-03-08</t>
  </si>
  <si>
    <t>No assessments are carried out</t>
  </si>
  <si>
    <t>No training was attended</t>
  </si>
  <si>
    <t>1 - 6 hours</t>
  </si>
  <si>
    <t>7 - 15 hours</t>
  </si>
  <si>
    <t>16 - 25 hours</t>
  </si>
  <si>
    <t>26 - 35 hours</t>
  </si>
  <si>
    <t>35 - 50 hours</t>
  </si>
  <si>
    <t>Over 50 hours</t>
  </si>
  <si>
    <t>if Not Applicable:</t>
  </si>
  <si>
    <t>FI-TR-12</t>
  </si>
  <si>
    <t>How many customers were subject to a request for information from Maltese authorities during the prior calendar year?</t>
  </si>
  <si>
    <t>How many customers were subject to a request for information from foreign authorities during the prior calendar year?</t>
  </si>
  <si>
    <t>FI-RE-08</t>
  </si>
  <si>
    <t>No reviews and updates are carried out</t>
  </si>
  <si>
    <t>No written AML/CFT policies and procedures</t>
  </si>
  <si>
    <t>FI-PP-02-01</t>
  </si>
  <si>
    <t>FI-PP-02-03</t>
  </si>
  <si>
    <t>FI-PP-02-04</t>
  </si>
  <si>
    <t>FI-PP-02-05</t>
  </si>
  <si>
    <t>Choose Country</t>
  </si>
  <si>
    <t>Afghanistan</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</si>
  <si>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</si>
  <si>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</si>
  <si>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</si>
  <si>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</si>
  <si>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</si>
  <si>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</si>
  <si>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</si>
  <si>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</si>
  <si>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</si>
  <si>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</si>
  <si>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</si>
  <si>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</si>
  <si>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</si>
  <si>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</si>
  <si>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</si>
  <si>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</si>
  <si>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</si>
  <si>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</si>
  <si>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</si>
  <si>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</si>
  <si>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</si>
  <si>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</si>
  <si>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</si>
  <si>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</si>
  <si>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</si>
  <si>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</si>
  <si>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</si>
  <si>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</si>
  <si>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</si>
  <si>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</si>
  <si>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</si>
  <si>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</si>
  <si>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</si>
  <si>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</si>
  <si>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</si>
  <si>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</si>
  <si>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</si>
  <si>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</si>
  <si>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</si>
  <si>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</si>
  <si>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</si>
  <si>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</si>
  <si>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</si>
  <si>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</si>
  <si>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</si>
  <si>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</si>
  <si>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</si>
  <si>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</si>
  <si>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Congo, the Democratic Republic of the</t>
  </si>
  <si>
    <t>Cook Islands</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</si>
  <si>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</si>
  <si>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</si>
  <si>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</si>
  <si>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</si>
  <si>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</si>
  <si>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</si>
  <si>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</si>
  <si>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</si>
  <si>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</si>
  <si>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</si>
  <si>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</si>
  <si>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</si>
  <si>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</si>
  <si>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</si>
  <si>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</si>
  <si>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</si>
  <si>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</si>
  <si>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</si>
  <si>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</si>
  <si>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</si>
  <si>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</si>
  <si>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</si>
  <si>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</si>
  <si>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</si>
  <si>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</si>
  <si>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</si>
  <si>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</si>
  <si>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</si>
  <si>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</si>
  <si>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</si>
  <si>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</si>
  <si>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</si>
  <si>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</si>
  <si>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</si>
  <si>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</si>
  <si>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</si>
  <si>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</si>
  <si>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Guinea</t>
  </si>
  <si>
    <t>Guinea-Bissau</t>
  </si>
  <si>
    <t>Guyana</t>
  </si>
  <si>
    <t>Haiti</t>
  </si>
  <si>
    <t>Heard Island and Mcdonald Islands</t>
  </si>
  <si>
    <t>Holy See (Vatican City State)</t>
  </si>
  <si>
    <t>Honduras</t>
  </si>
  <si>
    <t>Hong Kong</t>
  </si>
  <si>
    <t>Hungary</t>
  </si>
  <si>
    <t>Iceland</t>
  </si>
  <si>
    <t>India</t>
  </si>
  <si>
    <t>Indonesia</t>
  </si>
  <si>
    <t>Iran, Islamic Republic of</t>
  </si>
  <si>
    <t>Iraq</t>
  </si>
  <si>
    <t>Ireland</t>
  </si>
  <si>
    <t>Israel</t>
  </si>
  <si>
    <t>Italy</t>
  </si>
  <si>
    <t>Jamaica</t>
  </si>
  <si>
    <t>Japan</t>
  </si>
  <si>
    <t>Jordan</t>
  </si>
  <si>
    <t>Kazakhstan</t>
  </si>
  <si>
    <t>Kenya</t>
  </si>
  <si>
    <t>Kiribati</t>
  </si>
  <si>
    <t>Korea, Democratic People's Republic of</t>
  </si>
  <si>
    <t>Korea, Republic of</t>
  </si>
  <si>
    <t>Kuwait</t>
  </si>
  <si>
    <t>Kyrgyzstan</t>
  </si>
  <si>
    <t>Lao People's Democratic Republic</t>
  </si>
  <si>
    <t>Latvia</t>
  </si>
  <si>
    <t>Lebanon</t>
  </si>
  <si>
    <t>Lesotho</t>
  </si>
  <si>
    <t>Liberia</t>
  </si>
  <si>
    <t>State of Libya</t>
  </si>
  <si>
    <t>Liechtenstein</t>
  </si>
  <si>
    <t>Lithuania</t>
  </si>
  <si>
    <t>Luxembourg</t>
  </si>
  <si>
    <t>Macao</t>
  </si>
  <si>
    <t>North Macedonia</t>
  </si>
  <si>
    <t>Madagascar</t>
  </si>
  <si>
    <t>Malawi</t>
  </si>
  <si>
    <t>Malaysia</t>
  </si>
  <si>
    <t>Maldives</t>
  </si>
  <si>
    <t>Mali</t>
  </si>
  <si>
    <t>Malta</t>
  </si>
  <si>
    <t>Marshall Islands</t>
  </si>
  <si>
    <t>Martinique</t>
  </si>
  <si>
    <t>Mauritania</t>
  </si>
  <si>
    <t>Mauritius</t>
  </si>
  <si>
    <t>Mayotte</t>
  </si>
  <si>
    <t>Mexico</t>
  </si>
  <si>
    <t>Micronesia, Federated States of</t>
  </si>
  <si>
    <t>Moldova, Republic of</t>
  </si>
  <si>
    <t>Monaco</t>
  </si>
  <si>
    <t>Mongolia</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</si>
  <si>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</si>
  <si>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</si>
  <si>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</si>
  <si>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</si>
  <si>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</si>
  <si>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</si>
  <si>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</si>
  <si>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</si>
  <si>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</si>
  <si>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</si>
  <si>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</si>
  <si>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</si>
  <si>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</si>
  <si>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</si>
  <si>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</si>
  <si>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</si>
  <si>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</si>
  <si>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</si>
  <si>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</si>
  <si>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</si>
  <si>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</si>
  <si>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</si>
  <si>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</si>
  <si>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</si>
  <si>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</si>
  <si>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</si>
  <si>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</si>
  <si>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</si>
  <si>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</si>
  <si>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</si>
  <si>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</si>
  <si>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</si>
  <si>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Reunion</t>
  </si>
  <si>
    <t>Romania</t>
  </si>
  <si>
    <t>Russian Federation</t>
  </si>
  <si>
    <t>Rwanda</t>
  </si>
  <si>
    <t>Saint Helena</t>
  </si>
  <si>
    <t>Saint Kitts and Nevis</t>
  </si>
  <si>
    <t>Saint Lucia</t>
  </si>
  <si>
    <t>Saint Pierre and Miquelon</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</si>
  <si>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</si>
  <si>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</si>
  <si>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</si>
  <si>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</si>
  <si>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</si>
  <si>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</si>
  <si>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</si>
  <si>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</si>
  <si>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</si>
  <si>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</si>
  <si>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</si>
  <si>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</si>
  <si>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</si>
  <si>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</si>
  <si>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</si>
  <si>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</si>
  <si>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</si>
  <si>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</si>
  <si>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</si>
  <si>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</si>
  <si>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</si>
  <si>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</si>
  <si>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</si>
  <si>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</si>
  <si>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</si>
  <si>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 Province of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</si>
  <si>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</si>
  <si>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</si>
  <si>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</si>
  <si>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</si>
  <si>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</si>
  <si>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</si>
  <si>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</si>
  <si>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</si>
  <si>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</si>
  <si>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</si>
  <si>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</si>
  <si>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</si>
  <si>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</si>
  <si>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</si>
  <si>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</si>
  <si>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</si>
  <si>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</si>
  <si>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</si>
  <si>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</si>
  <si>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</si>
  <si>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</si>
  <si>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</si>
  <si>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</si>
  <si>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</si>
  <si>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</si>
  <si>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</si>
  <si>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</si>
  <si>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</si>
  <si>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</si>
  <si>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</si>
  <si>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</si>
  <si>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Unknown</t>
  </si>
  <si>
    <t>Montenegro</t>
  </si>
  <si>
    <t>Isle of Man</t>
  </si>
  <si>
    <t>No checks carried out</t>
  </si>
  <si>
    <t>Public searches</t>
  </si>
  <si>
    <t>Checks are outsourced</t>
  </si>
  <si>
    <t>Automated tools</t>
  </si>
  <si>
    <t>FI-PP-04</t>
  </si>
  <si>
    <t>FI-PP-05</t>
  </si>
  <si>
    <t>If not applicable, please explain why.</t>
  </si>
  <si>
    <t>Does your entity have an independent audit function to test the AML/CFT internal measures, policies, controls and procedures?</t>
  </si>
  <si>
    <t>Yes - The function is carried out in-house</t>
  </si>
  <si>
    <t>Yes - The function is outsourced</t>
  </si>
  <si>
    <t>When was the last independent audit performed, in regards to compliance with the AML/CFT regulations?</t>
  </si>
  <si>
    <t>FI-PR-01</t>
  </si>
  <si>
    <t>FI-PR-02</t>
  </si>
  <si>
    <t>FI-PR-03</t>
  </si>
  <si>
    <t>FI-PR-04</t>
  </si>
  <si>
    <t>FI-PR-05</t>
  </si>
  <si>
    <t>FI-PR-06</t>
  </si>
  <si>
    <t>FI-PR-07</t>
  </si>
  <si>
    <t>FI-PR-08</t>
  </si>
  <si>
    <t>FI-PR-09</t>
  </si>
  <si>
    <t>FI-PR-10</t>
  </si>
  <si>
    <t>FI-PR-27</t>
  </si>
  <si>
    <t>FI-PR-50</t>
  </si>
  <si>
    <t>FI-PR-51</t>
  </si>
  <si>
    <t>FI-PR-52</t>
  </si>
  <si>
    <t>FI-PR-53</t>
  </si>
  <si>
    <t>FI-PR-83</t>
  </si>
  <si>
    <t>FI-PR-77</t>
  </si>
  <si>
    <t>FI-PR-78</t>
  </si>
  <si>
    <t>FI-PR-79</t>
  </si>
  <si>
    <t>FI-PR-80</t>
  </si>
  <si>
    <t>FI-PR-81</t>
  </si>
  <si>
    <t>FI-PR-82</t>
  </si>
  <si>
    <t>FI-PR-85</t>
  </si>
  <si>
    <t>FI-PR-86</t>
  </si>
  <si>
    <t>FI-PR-88</t>
  </si>
  <si>
    <t>FI-PR-133</t>
  </si>
  <si>
    <t>FI-PR-134</t>
  </si>
  <si>
    <t>FI-PR-129</t>
  </si>
  <si>
    <t>FI-PR-130</t>
  </si>
  <si>
    <t>FI-PR-11</t>
  </si>
  <si>
    <t>FI-PR-131</t>
  </si>
  <si>
    <t>FI-PR-132</t>
  </si>
  <si>
    <t>FI-PR-135</t>
  </si>
  <si>
    <t>FI-PR-98</t>
  </si>
  <si>
    <t>FI-PR-100</t>
  </si>
  <si>
    <t>FI-PR-90</t>
  </si>
  <si>
    <t>FI-PR-91</t>
  </si>
  <si>
    <t>FI-PR-92</t>
  </si>
  <si>
    <t>FI-PR-93</t>
  </si>
  <si>
    <t>FI-PR-94</t>
  </si>
  <si>
    <t>FI-PR-95</t>
  </si>
  <si>
    <t>FI-PR-96</t>
  </si>
  <si>
    <t>FI-PR-97</t>
  </si>
  <si>
    <t>FI-PR-102</t>
  </si>
  <si>
    <t>FI-PR-103</t>
  </si>
  <si>
    <t>FI-PR-45</t>
  </si>
  <si>
    <t>FI-PR-46</t>
  </si>
  <si>
    <t>FI-PR-104</t>
  </si>
  <si>
    <t>FI-PR-105</t>
  </si>
  <si>
    <t>FI-PR-106</t>
  </si>
  <si>
    <t>FI-PR-107</t>
  </si>
  <si>
    <t>FI-PR-108</t>
  </si>
  <si>
    <t>FI-PR-109</t>
  </si>
  <si>
    <t>FI-PR-110</t>
  </si>
  <si>
    <t>FI-PR-111</t>
  </si>
  <si>
    <t>FI-PR-112</t>
  </si>
  <si>
    <t>FI-PR-116</t>
  </si>
  <si>
    <t>FI-PR-117</t>
  </si>
  <si>
    <t>FI-PR-118</t>
  </si>
  <si>
    <t>FI-PR-54</t>
  </si>
  <si>
    <t>FI-PR-55</t>
  </si>
  <si>
    <t>FI-PR-120</t>
  </si>
  <si>
    <t>FI-PR-121</t>
  </si>
  <si>
    <t>FI-PR-122</t>
  </si>
  <si>
    <t>FI-PR-49</t>
  </si>
  <si>
    <t>FI-PR-136</t>
  </si>
  <si>
    <t>FI-PR-137</t>
  </si>
  <si>
    <t>FI-PR-138</t>
  </si>
  <si>
    <t>FI-PR-26</t>
  </si>
  <si>
    <t>FI-PR-28</t>
  </si>
  <si>
    <t>FI-PR-29</t>
  </si>
  <si>
    <t>FI-PR-30</t>
  </si>
  <si>
    <t>FI-PR-31</t>
  </si>
  <si>
    <t>FI-PR-32</t>
  </si>
  <si>
    <t>FI-PR-33</t>
  </si>
  <si>
    <t>FI-PR-34</t>
  </si>
  <si>
    <t>FI-PR-35</t>
  </si>
  <si>
    <t>FI-PR-36</t>
  </si>
  <si>
    <t>FI-PR-47</t>
  </si>
  <si>
    <t>FI-PR-48</t>
  </si>
  <si>
    <t>FI-PR-24</t>
  </si>
  <si>
    <t>FI-PR-25</t>
  </si>
  <si>
    <t>FI-PR-57</t>
  </si>
  <si>
    <t>FI-PR-58</t>
  </si>
  <si>
    <t>FI-PR-59</t>
  </si>
  <si>
    <t>FI-PR-61</t>
  </si>
  <si>
    <t>FI-PR-63</t>
  </si>
  <si>
    <t>FI-PR-64</t>
  </si>
  <si>
    <t>FI-PR-65</t>
  </si>
  <si>
    <t>FI-PR-66</t>
  </si>
  <si>
    <t>FI-PR-68</t>
  </si>
  <si>
    <t>FI-PR-70</t>
  </si>
  <si>
    <t>FI-PR-71</t>
  </si>
  <si>
    <t>FI-PR-39</t>
  </si>
  <si>
    <t>FI-PR-40</t>
  </si>
  <si>
    <t>FI-PR-21</t>
  </si>
  <si>
    <t>FI-PR-41</t>
  </si>
  <si>
    <t>FI-PR-42</t>
  </si>
  <si>
    <t>FI-PR-43</t>
  </si>
  <si>
    <t>FI-PR-44</t>
  </si>
  <si>
    <t>FI-PR-74</t>
  </si>
  <si>
    <t>FI-CR-02</t>
  </si>
  <si>
    <t>FI-CR-03</t>
  </si>
  <si>
    <t>FI-CR-04</t>
  </si>
  <si>
    <t>FI-CR-07</t>
  </si>
  <si>
    <t>FI-CR-08</t>
  </si>
  <si>
    <t>FI-CR-09</t>
  </si>
  <si>
    <t>FI-CR-10</t>
  </si>
  <si>
    <t>FI-CR-11</t>
  </si>
  <si>
    <t>FI-CR-12</t>
  </si>
  <si>
    <t>FI-CR-13</t>
  </si>
  <si>
    <t>FI-CR-14</t>
  </si>
  <si>
    <t>FI-CR-15</t>
  </si>
  <si>
    <t>FI-CR-16</t>
  </si>
  <si>
    <t>FI-CR-17</t>
  </si>
  <si>
    <t>FI-CR-18</t>
  </si>
  <si>
    <t>FI-CR-19</t>
  </si>
  <si>
    <t>FI-CR-22</t>
  </si>
  <si>
    <t>FI-CR-25</t>
  </si>
  <si>
    <t>FI-CR-26</t>
  </si>
  <si>
    <t>FI-CR-27</t>
  </si>
  <si>
    <t>FI-CR-52</t>
  </si>
  <si>
    <t>FI-CR-53</t>
  </si>
  <si>
    <t>FI-CR-61</t>
  </si>
  <si>
    <t>FI-CR-62</t>
  </si>
  <si>
    <t>FI-CR-63</t>
  </si>
  <si>
    <t>FI-CR-54</t>
  </si>
  <si>
    <t>FI-CR-55</t>
  </si>
  <si>
    <t>FI-CR-56</t>
  </si>
  <si>
    <t>FI-CR-57</t>
  </si>
  <si>
    <t>FI-CR-58</t>
  </si>
  <si>
    <t>FI-CR-59</t>
  </si>
  <si>
    <t>FI-CR-60</t>
  </si>
  <si>
    <t>FI-CR-90</t>
  </si>
  <si>
    <t>FI-CR-91</t>
  </si>
  <si>
    <t>FI-CR-92</t>
  </si>
  <si>
    <t>FI-CR-93</t>
  </si>
  <si>
    <t>FI-CR-70</t>
  </si>
  <si>
    <t>FI-CR-71</t>
  </si>
  <si>
    <t>FI-CR-72</t>
  </si>
  <si>
    <t>FI-CR-49</t>
  </si>
  <si>
    <t>FI-CR-50</t>
  </si>
  <si>
    <t>FI-CR-51</t>
  </si>
  <si>
    <t>FI-CR-67</t>
  </si>
  <si>
    <t>FI-CR-68</t>
  </si>
  <si>
    <t>FI-CR-69</t>
  </si>
  <si>
    <t>FI-CR-28</t>
  </si>
  <si>
    <t>FI-CR-29</t>
  </si>
  <si>
    <t>FI-CR-30</t>
  </si>
  <si>
    <t>FI-CR-31</t>
  </si>
  <si>
    <t>FI-CR-32</t>
  </si>
  <si>
    <t>FI-CR-33</t>
  </si>
  <si>
    <t>FI-CR-34</t>
  </si>
  <si>
    <t>FI-CR-35</t>
  </si>
  <si>
    <t>FI-CR-36</t>
  </si>
  <si>
    <t>FI-CR-40</t>
  </si>
  <si>
    <t>FI-CR-73</t>
  </si>
  <si>
    <t>FI-CR-74</t>
  </si>
  <si>
    <t>FI-CR-75</t>
  </si>
  <si>
    <t>FI-CR-64</t>
  </si>
  <si>
    <t>FI-CR-65</t>
  </si>
  <si>
    <t>FI-CR-66</t>
  </si>
  <si>
    <t>FI-CR-76</t>
  </si>
  <si>
    <t>FI-CR-77</t>
  </si>
  <si>
    <t>FI-CR-78</t>
  </si>
  <si>
    <t>FI-CR-79</t>
  </si>
  <si>
    <t>FI-CR-46</t>
  </si>
  <si>
    <t>FI-CR-47</t>
  </si>
  <si>
    <t>FI-CR-48</t>
  </si>
  <si>
    <t>FI-JR-07</t>
  </si>
  <si>
    <t>FI-JR-09</t>
  </si>
  <si>
    <t>FI-JR-10</t>
  </si>
  <si>
    <t>FI-JR-06</t>
  </si>
  <si>
    <t>FI-JR-69</t>
  </si>
  <si>
    <t>FI-JR-02</t>
  </si>
  <si>
    <t>FI-JR-03</t>
  </si>
  <si>
    <t>FI-JR-04</t>
  </si>
  <si>
    <t>FI-JR-33</t>
  </si>
  <si>
    <t>FI-JR-34</t>
  </si>
  <si>
    <t>FI-JR-36</t>
  </si>
  <si>
    <t>FI-JR-47</t>
  </si>
  <si>
    <t>FI-JR-48</t>
  </si>
  <si>
    <t>FI-JR-50</t>
  </si>
  <si>
    <t>FI-JR-52</t>
  </si>
  <si>
    <t>FI-JR-39</t>
  </si>
  <si>
    <t>FI-JR-40</t>
  </si>
  <si>
    <t>FI-JR-42</t>
  </si>
  <si>
    <t>FI-JR-43</t>
  </si>
  <si>
    <t>FI-JR-44</t>
  </si>
  <si>
    <t>FI-JR-45</t>
  </si>
  <si>
    <t>FI-JR-46</t>
  </si>
  <si>
    <t>FI-JR-01</t>
  </si>
  <si>
    <t>FI-JR-57</t>
  </si>
  <si>
    <t>FI-JR-58</t>
  </si>
  <si>
    <t>FI-JR-60</t>
  </si>
  <si>
    <t>FI-JR-61</t>
  </si>
  <si>
    <t>FI-JR-53</t>
  </si>
  <si>
    <t>FI-JR-54</t>
  </si>
  <si>
    <t>FI-JR-56</t>
  </si>
  <si>
    <t>FI-JR-72</t>
  </si>
  <si>
    <t>FI-JR-73</t>
  </si>
  <si>
    <t>FI-JR-74</t>
  </si>
  <si>
    <t>FI-IR-01</t>
  </si>
  <si>
    <t>FI-IR-02</t>
  </si>
  <si>
    <t>FI-IR-03</t>
  </si>
  <si>
    <t>FI-IR-04</t>
  </si>
  <si>
    <t>FI-IR-07</t>
  </si>
  <si>
    <t>FI-IR-08</t>
  </si>
  <si>
    <t>FI-TM-15</t>
  </si>
  <si>
    <t>Has your entity introduced new products in the prior calendar year?</t>
  </si>
  <si>
    <t>Please include a brief description of the product features recently introduced.</t>
  </si>
  <si>
    <t>Do you offer white label to third parties?</t>
  </si>
  <si>
    <t>What level of control does your entity has over the onboarding and KYC process for end-users of white label products?</t>
  </si>
  <si>
    <t>How does your entity ensure that white label partners comply with your entity's AML policies and procedures?</t>
  </si>
  <si>
    <t>Approximately what percentage of your entity's overall activities involve white label partnerships?</t>
  </si>
  <si>
    <t>How many white label partnerships did your entity terminate during the last calendar year due to ML/FT reasons?</t>
  </si>
  <si>
    <t>Were any of the products and/or services provided to you as a subject person, ceased due to de-risking practices during the prior calendar year?</t>
  </si>
  <si>
    <t>Provide details of the de-risking.</t>
  </si>
  <si>
    <t xml:space="preserve">How many relationships did you have with correspondent institutions (where your entity is the respondent institution) during the prior calendar year? </t>
  </si>
  <si>
    <t>Does your entity make use of vIBAN accounts services provided by another institution?</t>
  </si>
  <si>
    <t>What are the main reasons why your entity resorted to making use of vIBAN account services from other institutions?</t>
  </si>
  <si>
    <t>If your entity makes use of vIBAN accounts services provided by another institution, and where your entity distributed vIBAN accounts to customers, what is the total value of incoming transactions channelled to vIBAN accounts distributed to your customers during the previous calendar year?</t>
  </si>
  <si>
    <t>If your entity makes use of vIBAN accounts services provided by another institution, and where your entity distributed vIBAN accounts to customers, what is the total value of outgoing transactions channelled from vIBAN accounts distributed to your customers during the previous calendar year?</t>
  </si>
  <si>
    <t>How many correspondent institutions have terminated their correspondent relationship with your entity (where your entity is the respondent institution) during the prior calendar year?</t>
  </si>
  <si>
    <t>Please specify the type of assets subject to financial leasing contracts as at end of the previous calendar year.</t>
  </si>
  <si>
    <t>What is the total value of financial leasing early repayments during the previous calendar year?</t>
  </si>
  <si>
    <t>Kindly indicate whether any of the assets leased through financial leasing can be sub-leased.</t>
  </si>
  <si>
    <t>Do you act as a correspondent institution to other respondent institutions?</t>
  </si>
  <si>
    <t xml:space="preserve">If your institution acts as a correspondent institution, what type of services are provided to respondent institutions? </t>
  </si>
  <si>
    <t>Please specify the total value of outgoing money remittance transactions during the previous calendar year where the customer sending the funds did not hold an account with your entity.</t>
  </si>
  <si>
    <t>Please specify the total value of incoming money remittance transactions during the previous calendar year, where the customer receiving the funds holds an account with your entity.</t>
  </si>
  <si>
    <t>Please specify the total value of incoming money remittance transactions during the previous calendar year where the customer receiving the funds did not hold an account with your entity.</t>
  </si>
  <si>
    <t>Do you offer payment accounts to your customers?</t>
  </si>
  <si>
    <t>Do you allow over-the-counter cash withdrawals from payment accounts?</t>
  </si>
  <si>
    <t>What is the total value of over-the-counter cash withdrawals from payment accounts during the previous calendar year?</t>
  </si>
  <si>
    <t>Do you allow ATM cash withdrawals from payment accounts?</t>
  </si>
  <si>
    <t>What is the total value of ATM cash withdrawals from payment accounts during the previous calendar year?</t>
  </si>
  <si>
    <t>Do you allow over-the-counter cash deposits to payment accounts?</t>
  </si>
  <si>
    <t>What is the total value of over-the-counter cash deposits to payment accounts during the previous calendar year?</t>
  </si>
  <si>
    <t>Do you allow ATM cash deposits to payment accounts?</t>
  </si>
  <si>
    <t>What is the total value of ATM cash deposits to payment accounts during the previous calendar year?</t>
  </si>
  <si>
    <t>What is the total value of transactions received in customers' payment accounts during the previous calendar year, where the source of funds is from the exchange of crypto assets into fiat currency?</t>
  </si>
  <si>
    <t>What is the total value of transactions remitted from customers' payment accounts during the previous calendar year for the purpose of purchasing crypto assets?</t>
  </si>
  <si>
    <t>How many prepaid cards were issued during the previous calendar year?</t>
  </si>
  <si>
    <t>Out of the total number of prepaid cards issued by your entity during the prior calendar year, what % are reloadable prepaid cards?</t>
  </si>
  <si>
    <t xml:space="preserve">Please indicate the total value by which prepaid cards your entity issued were loaded during the previous calendar year. </t>
  </si>
  <si>
    <t>In the case of prepaid cards, what is the maximum loading amount allowed?</t>
  </si>
  <si>
    <t>In the case of prepaid cards, do you allow loading through cash?</t>
  </si>
  <si>
    <t>Do you allow third parties to load prepaid cards?</t>
  </si>
  <si>
    <t>If loading of prepaid cards is allowed through cash, what was the total value of prepaid card loading through cash in the previous calendar year?</t>
  </si>
  <si>
    <t>Please specify the type of cards issued.</t>
  </si>
  <si>
    <t>Does your entity provide services relating to the acquiring of payment transactions?</t>
  </si>
  <si>
    <t>If your entity provides vIBAN services, what is the total value of incoming transactions during the previous calendar year to vIBAN accounts provided by your entity?</t>
  </si>
  <si>
    <t>If your entity provides vIBAN services, what is the total value of outgoing transactions during the previous calendar year from vIBAN accounts provided by your entity?</t>
  </si>
  <si>
    <t>Are the institutions providing relevant financial business as defined in Regulation 2 of the PMLFTR and to whom you provided vIBAN services allowed to redistribute vIBAN accounts to their customers?</t>
  </si>
  <si>
    <t>How many cash machines (ATMs) does your entity operate?</t>
  </si>
  <si>
    <t>Please indicate the total number of pooled accounts held by your entity as at the end of the prior calendar year.</t>
  </si>
  <si>
    <t>Please indicate the total value of incoming transactions processed in relation to pooled accounts during the prior calendar year.</t>
  </si>
  <si>
    <t>Please indicate the total value of outgoing transactions processed in relation to pooled accounts during the prior calendar year.</t>
  </si>
  <si>
    <t>What is the total value by which emoney accounts were loaded (topped up) during the previous calendar year?</t>
  </si>
  <si>
    <t>What is the total value of transactions from emoney accounts held with your entity during the previous calendar year?</t>
  </si>
  <si>
    <t>What is the total value of transactions to emoney accounts held with your entity during the previous calendar year?</t>
  </si>
  <si>
    <t>Can emoney accounts be loaded (topped up) through third party funds?</t>
  </si>
  <si>
    <t>Can emoney accounts be funded through cash?</t>
  </si>
  <si>
    <t xml:space="preserve">Are emoney accounts linked to a card? </t>
  </si>
  <si>
    <t>If emoney accounts are linked to a card, what type of cards are issued?</t>
  </si>
  <si>
    <t>If emoney accounts are linked to a card, are cash withdrawals from ATMs allowed?</t>
  </si>
  <si>
    <t>If emoney accounts are linked to a card which allow cash withdrawals from ATMs, please specify the total value of ATM withdrawals during the previous calendar year.</t>
  </si>
  <si>
    <t>What is the total value of transactions received in customers' emoney accounts during the previous calendar year, where the source of funds is from the exchange of crypto assets into fiat currency?</t>
  </si>
  <si>
    <t>What is the total value of transactions remitted from customers' emoney accounts during the previous calendar year for the purpose of purchasing crypto assets?</t>
  </si>
  <si>
    <t>Were any guarantees or similar commitments that your entity issued called out due to default by your customer during the previous calendar year?</t>
  </si>
  <si>
    <t>Please specify the amount of the guarantee or similar commitment called out during the previous calendar year.</t>
  </si>
  <si>
    <t>b) mortgage credits</t>
  </si>
  <si>
    <t xml:space="preserve">What % of transactions (in terms of value) did your institution act as a money broker during the previous calendar year where one of the counterparties was another entity providing relevant financial business  in terms of Regulation 2 of the PMLFTR? </t>
  </si>
  <si>
    <t>For what financial products did you act as a money broker during the previous calendar year?</t>
  </si>
  <si>
    <t>What is the value of shares that your entity purchased and holds as at end of the last calendar year as a result of share underwriting agreements?</t>
  </si>
  <si>
    <t>What is the value of the trading activity on the account of your entity's customers during the previous calendar year?</t>
  </si>
  <si>
    <t>What is the value of the trading activity on the account of your entity during the previous calendar year?</t>
  </si>
  <si>
    <t>For what % of customers to whom your entity provided venture and risk capital financing, has your entity appointed a director on the Board of Directors of the companies it invests in?</t>
  </si>
  <si>
    <t>Please list the number of business relationships where the customer is a company.</t>
  </si>
  <si>
    <t>Please list the number of business relationships where the customer is a commercial partnership.</t>
  </si>
  <si>
    <t>Please list the number of business relationships where the customer is a foundation or association.</t>
  </si>
  <si>
    <t>Please list the number of business relationships where the customer is a trust.</t>
  </si>
  <si>
    <t xml:space="preserve">Please list the number of business relationships where the customer's ownership and control structure involves a trust, foundation or other similar legal arrangement (i.e. it is not the customer who is the trust, foundation or similar legal arrangement). </t>
  </si>
  <si>
    <t>Of the total customer base, how many natural persons were PEPs (including family members and close associates), as at the end of the prior calendar year?</t>
  </si>
  <si>
    <t>Of the total customer base, how many customers have at least one beneficial owner who is a PEP (including family members and close associates), as at the end of the prior calendar year?</t>
  </si>
  <si>
    <t>Please list the number of customers serviced during the prior calendar year, where at least one of the beneficial owner benefited from residency schemes, citizenship by investment schemes, or are applicants or prospective applicants for such schemes issued by Malta.</t>
  </si>
  <si>
    <t>Please list the number of customers serviced during the prior calendar year, where at least one of the beneficial owner benefited from residency schemes, citizenship by investment schemes, or are applicants or prospective applicants for such schemes issued by countries other than Malta.</t>
  </si>
  <si>
    <t>According to the entity's policies and procedures, how many business relationships in the customer portfolio are subject to SDD?</t>
  </si>
  <si>
    <t>Please list the number of business relationships with customers who are operating in dual use items.</t>
  </si>
  <si>
    <t>Please list the number of business relationships with customers who operate in cash intensive businesses.</t>
  </si>
  <si>
    <t>If your entity makes use of vIBAN accounts services provided by another institution, how many customers are making use of vIBAN accounts redistributed by your entity as at end of the previous calendar year?</t>
  </si>
  <si>
    <t xml:space="preserve">(1) Natural Persons </t>
  </si>
  <si>
    <t>(2) Persons other than natural persons</t>
  </si>
  <si>
    <t>Please list the number of business relationships with customers also carrying out relevant financial business in terms of Regulation 2 of the PMLFTR.</t>
  </si>
  <si>
    <t>For how many respondent institutions is your entity acting as a correspondent institution by providing correspondent services as at the previous calendar year?</t>
  </si>
  <si>
    <t>For how many respondent institutions did you cease acting as a correspondent institution due to AML/CFT reasons during the previous calendar year?</t>
  </si>
  <si>
    <t>To how many customers did you provide money remittance services during the previous calendar year?</t>
  </si>
  <si>
    <t>How many customers were making use of payment accounts as at end of the previous calendar year?</t>
  </si>
  <si>
    <t>Please indicate the total number of customers to whom prepaid cards were issued as at the end of the previous calendar year.</t>
  </si>
  <si>
    <t xml:space="preserve">To how many customers did your entity provide vIBAN services to during the previous calendar year? </t>
  </si>
  <si>
    <t>As at the end of the last calendar year, how many customers held a pooled account with your entity?</t>
  </si>
  <si>
    <t>(1) Natural persons</t>
  </si>
  <si>
    <t>(2) Persons other than natural persons.</t>
  </si>
  <si>
    <t>From the total number of customers using pooled accounts, please specify how many are carrying out Relevant Financial Business or Relevant Activity in terms of Regulation 2 of the PMLFTR.</t>
  </si>
  <si>
    <t>How many customers hold an emoney account with your institution as at end of the last calendar year?</t>
  </si>
  <si>
    <t>Please provide the total number of customers benefitting from financial leasing as at end of the previous calendar year.</t>
  </si>
  <si>
    <t>How many customers are benefitting from services relating to guarantees and other commitments during the last calendar year?</t>
  </si>
  <si>
    <t>For how many counterparties did you act as a money broker during the previous calendar year?</t>
  </si>
  <si>
    <t>Please provide the total number of customers benefitting from venture or risk capital facilities as at end of the previous calendar year.</t>
  </si>
  <si>
    <t>If your entity makes use of vIBAN accounts services provided by another institution, is the country code Maltese or non-Maltese?</t>
  </si>
  <si>
    <t>Please specify the total value of outgoing money remittance transactions during the previous calendar per jurisdiction.</t>
  </si>
  <si>
    <t>What is the total value of incoming payments into payment accounts executed during the previous calendar year per jurisdiction?</t>
  </si>
  <si>
    <t>What is the total value of outgoing payments executed from payment accounts during the previous calendar year per jurisdiction?</t>
  </si>
  <si>
    <t>If your entity operated cash machines (ATMs) during the previous calendar year, please indicate the jurisdiction were such machines are located.</t>
  </si>
  <si>
    <t>What is the total value of transactions from emoney accounts held with your entity during the previous calendar year per jurisdiction?</t>
  </si>
  <si>
    <t>What is the total value of transactions to emoney accounts held with your entity during the previous calendar year per jurisdiction?</t>
  </si>
  <si>
    <t>b) on a non-face-to-face basis, during the prior calendar year?</t>
  </si>
  <si>
    <t>How many agents/ distributors/ introducers/ intermediaries did your entity have at the end of the previous calendar year?</t>
  </si>
  <si>
    <t>Has your entity terminated any agent/ distributor/ introducer/ intermediary relationship due to AML/CFT issues during the prior calendar year?</t>
  </si>
  <si>
    <t>What is the % of customers that were introduced and/or onboarded by either an agent/ distributor/ introducer/ intermediary?</t>
  </si>
  <si>
    <t>How many new customers were acquired through an agent/ distributor/ introducer/ intermediary in the prior calendar year?</t>
  </si>
  <si>
    <t>What is the % of customers whose CDD in terms of Regulation 7(1)(a), 7(1)(b) and 7(1)(c) has been carried out by another subject person/third party, on the basis of a reliance agreement between your entity and the other subject person/third party?</t>
  </si>
  <si>
    <t>What was the overall result of the last AML/CFT independent audit carried out?</t>
  </si>
  <si>
    <t>List the 3 main "high risk" audit issues that were identified in the AML/CFT independent audit reports issued in the past 2 calendar years.</t>
  </si>
  <si>
    <t>List the 3 main "medium risk" audit issues that were identified in the AML/CFT independent audit reports issued in the past 2 calendar years.</t>
  </si>
  <si>
    <t>What topics were subject to an AML/CFT independent audit in the past 2 calendar years?</t>
  </si>
  <si>
    <t>What is your entity's most recent inherent risk scoring or rating for ML/FT in the Business Risk Assessment (BRA)?</t>
  </si>
  <si>
    <t>What is your entity's most recent residual risk scoring or rating for ML/FT in the BRA?</t>
  </si>
  <si>
    <t>Did your entity review and/or update the BRA in the prior calendar year?</t>
  </si>
  <si>
    <t xml:space="preserve">Has there been a review of your entity's Customer Acceptance Policy (CAP) in the prior calendar year? </t>
  </si>
  <si>
    <t>Please explain these changes.</t>
  </si>
  <si>
    <t>As at end of the last calendar year, how many customers fell outside the CAP but were provided with services, (including those that were subject to management approval)?</t>
  </si>
  <si>
    <t>Is there a documented Customer Risk Assessment (CRA) methodology?</t>
  </si>
  <si>
    <t>In the case where an introducer, intermediary, broker or agent, was used to onboard customers during the previous calendar year, was Customer Due Diligence (CDD) performed on such?</t>
  </si>
  <si>
    <t>b) Medium risk customers</t>
  </si>
  <si>
    <t>c) High risk customers</t>
  </si>
  <si>
    <t>How many clients and/or business relationships were terminated during the last calendar year due to de-risking practices?</t>
  </si>
  <si>
    <t>How many business relationships were terminated, blocked, suspended or were otherwise, provided limited services for ML/FT related reasons (apart from de-risking reasons), during the prior calendar year?</t>
  </si>
  <si>
    <t>How many business relationships were due for review during the previous calendar year, but are still pending review as at end of January of this calendar year?</t>
  </si>
  <si>
    <t>Does the monitoring system detect incoming fund transfers, which have missing or incomplete information on the payer and / or payee pre-transaction  or post-transaction?</t>
  </si>
  <si>
    <t>Not Available</t>
  </si>
  <si>
    <t>IR</t>
  </si>
  <si>
    <t>Business risk assessment</t>
  </si>
  <si>
    <t>Customer risk assessment procedures</t>
  </si>
  <si>
    <t>Customer and beneficial ownership identification and verification</t>
  </si>
  <si>
    <t>AML/CFT Governance</t>
  </si>
  <si>
    <t>Purpose and intended nature of business relationship</t>
  </si>
  <si>
    <t>Ongoing monitoring</t>
  </si>
  <si>
    <t>Satisfactory</t>
  </si>
  <si>
    <t>Satisfactory but minor improvements required</t>
  </si>
  <si>
    <t>Satisfactory but material improvements required</t>
  </si>
  <si>
    <t>Unsatisfactory</t>
  </si>
  <si>
    <t>FI-PP-13-01</t>
  </si>
  <si>
    <t>FI-PP-13-02</t>
  </si>
  <si>
    <t>FI-PP-13-03</t>
  </si>
  <si>
    <t>FI-PP-13-04</t>
  </si>
  <si>
    <t>FI-PP-13-05</t>
  </si>
  <si>
    <t>FI-PP-13-06</t>
  </si>
  <si>
    <t>FI-PP-13-07</t>
  </si>
  <si>
    <t>BRA not carried out</t>
  </si>
  <si>
    <t>Control effectiveness not rated</t>
  </si>
  <si>
    <t>Residual risk not rated</t>
  </si>
  <si>
    <t>CAP Not Available</t>
  </si>
  <si>
    <t>Did this review result in major changes?</t>
  </si>
  <si>
    <t>Customer Acceptance and Risk Assessment</t>
  </si>
  <si>
    <t>if Not Available:</t>
  </si>
  <si>
    <t>FI-CA-04-NAV</t>
  </si>
  <si>
    <t>FI-TR-08-NAP</t>
  </si>
  <si>
    <t>FI-TR-09-NAP</t>
  </si>
  <si>
    <t>CRA Methodology Not Available</t>
  </si>
  <si>
    <t>How often is the CRA reviewed for the following:</t>
  </si>
  <si>
    <t>a) Low risk customers</t>
  </si>
  <si>
    <t>Trigger event based</t>
  </si>
  <si>
    <t>Every 13 - 23 months</t>
  </si>
  <si>
    <t>FI-MD-04-01</t>
  </si>
  <si>
    <t>FI-MD-04-02</t>
  </si>
  <si>
    <t>FI-MD-04-03</t>
  </si>
  <si>
    <t>FI-MD-04-04</t>
  </si>
  <si>
    <t>Ongoing monitoring (Transaction Scrutiny)</t>
  </si>
  <si>
    <t>Yes, pre-transaction</t>
  </si>
  <si>
    <t>Yes, post-transaction</t>
  </si>
  <si>
    <t>N/A - No transaction monitoring is carried out</t>
  </si>
  <si>
    <t>Fully automated</t>
  </si>
  <si>
    <t>Partially automated</t>
  </si>
  <si>
    <t>Manual</t>
  </si>
  <si>
    <t>Product Risk</t>
  </si>
  <si>
    <t>Financial leasing</t>
  </si>
  <si>
    <t>Venture or risk capital</t>
  </si>
  <si>
    <t>Payment services set out in the Second Schedule of the Financial Institutions Act</t>
  </si>
  <si>
    <t>Underwriting share issues and participation in such issues</t>
  </si>
  <si>
    <t>Issuing of electronic money as defined in the Third Schedule of the Financial Institutions Act</t>
  </si>
  <si>
    <t>FI-PR-01-01</t>
  </si>
  <si>
    <t>FI-PR-01-02</t>
  </si>
  <si>
    <t>FI-PR-01-03</t>
  </si>
  <si>
    <t>FI-PR-01-04</t>
  </si>
  <si>
    <t>FI-PR-01-05</t>
  </si>
  <si>
    <t>FI-PR-01-06</t>
  </si>
  <si>
    <t>FI-PR-01-07</t>
  </si>
  <si>
    <t>FI-PR-01-08</t>
  </si>
  <si>
    <t>FI-PR-01-09</t>
  </si>
  <si>
    <t>FI-PR-01-10</t>
  </si>
  <si>
    <t>Full control</t>
  </si>
  <si>
    <t>Partial control</t>
  </si>
  <si>
    <t>No control</t>
  </si>
  <si>
    <t>Varies depending on the third party</t>
  </si>
  <si>
    <t>Regular audits</t>
  </si>
  <si>
    <t>Training and education</t>
  </si>
  <si>
    <t>Contractual obligations</t>
  </si>
  <si>
    <t>All of the above</t>
  </si>
  <si>
    <t>No action is taken in this regard</t>
  </si>
  <si>
    <t>Less than 10%</t>
  </si>
  <si>
    <t>More than 50%</t>
  </si>
  <si>
    <t>10 - 25%</t>
  </si>
  <si>
    <t>26 - 50%</t>
  </si>
  <si>
    <t>in Euro:</t>
  </si>
  <si>
    <t>FI-PR-77-01</t>
  </si>
  <si>
    <t>FI-PR-77-02</t>
  </si>
  <si>
    <t>FI-PR-77-03</t>
  </si>
  <si>
    <t>FI-PR-77-04</t>
  </si>
  <si>
    <t>FI-PR-77-05</t>
  </si>
  <si>
    <t>FI-PR-77-06</t>
  </si>
  <si>
    <t>Motor vehicles</t>
  </si>
  <si>
    <t>Sea vessels</t>
  </si>
  <si>
    <t>Aircraft</t>
  </si>
  <si>
    <t>Machinery and equipment</t>
  </si>
  <si>
    <t>Immovable property</t>
  </si>
  <si>
    <t>FI-PR-53-NAV</t>
  </si>
  <si>
    <t>FI-PR-52-NAV</t>
  </si>
  <si>
    <t>If others, explain</t>
  </si>
  <si>
    <t>FI-PR-82-01</t>
  </si>
  <si>
    <t>FI-PR-82-02</t>
  </si>
  <si>
    <t>FI-PR-82-03</t>
  </si>
  <si>
    <t>FI-PR-82-04</t>
  </si>
  <si>
    <t>FI-PR-82-05</t>
  </si>
  <si>
    <t>Cash management</t>
  </si>
  <si>
    <t>International wire transfers</t>
  </si>
  <si>
    <t>Cheque clearing</t>
  </si>
  <si>
    <t>Payable-through accounts</t>
  </si>
  <si>
    <t>Foreign exchange services</t>
  </si>
  <si>
    <t>FI-PR-82-06</t>
  </si>
  <si>
    <t>Others</t>
  </si>
  <si>
    <t>FI-PR-77-Other</t>
  </si>
  <si>
    <t>FI-PR-82-Other</t>
  </si>
  <si>
    <t>Risk Evaluation Questionnaire - Product Risk</t>
  </si>
  <si>
    <t>If yes, please specify.</t>
  </si>
  <si>
    <t>FI-PR-133-Other</t>
  </si>
  <si>
    <t>FI-PR-133 &amp; 134</t>
  </si>
  <si>
    <t>N/A (money remittance services not provided)</t>
  </si>
  <si>
    <t>FI-PR-134-Other</t>
  </si>
  <si>
    <t>FI-PR-54-NAP</t>
  </si>
  <si>
    <t>N/A (vIBAN services are not provided to institutions providing relevant financial business)</t>
  </si>
  <si>
    <t>if Not available:</t>
  </si>
  <si>
    <t>FI-PR-26-NAV</t>
  </si>
  <si>
    <t>FI-PR-28-NAV</t>
  </si>
  <si>
    <t>FI-PR-32-NAV</t>
  </si>
  <si>
    <t>FI-PR-36-NAV</t>
  </si>
  <si>
    <t>a) personal  credits</t>
  </si>
  <si>
    <t>FI-PR-57-NAV</t>
  </si>
  <si>
    <t>FI-PR-58-NAV</t>
  </si>
  <si>
    <t>FI-PR-59-NAV</t>
  </si>
  <si>
    <t>FI-PR-61-NAV</t>
  </si>
  <si>
    <t>if N/A (vIBAN services not provided):</t>
  </si>
  <si>
    <t>a) personal credits</t>
  </si>
  <si>
    <t>FI-PR-70-NAV</t>
  </si>
  <si>
    <t>FI-PR-71-NAV</t>
  </si>
  <si>
    <t>FI-PR-21-Other</t>
  </si>
  <si>
    <t>If yes, specify.</t>
  </si>
  <si>
    <t>FI-PR-41-NAV</t>
  </si>
  <si>
    <t>FI-PR-42-NAV</t>
  </si>
  <si>
    <t>FI-PR-43-NAV</t>
  </si>
  <si>
    <t>FI-PR-44-NAV</t>
  </si>
  <si>
    <t>REQ - Controls</t>
  </si>
  <si>
    <t>REQ - Product Risk</t>
  </si>
  <si>
    <t>REQ - Customer Risk</t>
  </si>
  <si>
    <t>REQ - Jurisdiction Risk</t>
  </si>
  <si>
    <t>REQ - Interface Risk</t>
  </si>
  <si>
    <t>Risk Evaluation Questionnaire - Customer Risk</t>
  </si>
  <si>
    <t>Customer Risk</t>
  </si>
  <si>
    <r>
      <t xml:space="preserve">Kindly ensure to fill in all the </t>
    </r>
    <r>
      <rPr>
        <i/>
        <sz val="10"/>
        <color theme="0" tint="-0.499984740745262"/>
        <rFont val="Roboto"/>
      </rPr>
      <t>grey</t>
    </r>
    <r>
      <rPr>
        <i/>
        <sz val="10"/>
        <color theme="1"/>
        <rFont val="Roboto"/>
      </rPr>
      <t xml:space="preserve"> boxes, including entries with 0 values.</t>
    </r>
  </si>
  <si>
    <t>c) factoring</t>
  </si>
  <si>
    <t>d) financing of commercial transactions</t>
  </si>
  <si>
    <t>Lending services</t>
  </si>
  <si>
    <t xml:space="preserve">What is the total number of lending services that have been fully repaid prior to the termination of the agreed repayment period in the previous calendar year? </t>
  </si>
  <si>
    <t>What is the total value of lending services early repayments during the previous calendar year?</t>
  </si>
  <si>
    <t>Please provide the total number of customers benefitting from the following lending services as at end of the previous calendar year for the following:</t>
  </si>
  <si>
    <t>Risk Evaluation Questionnaire - Interface Risk</t>
  </si>
  <si>
    <t>Interface Risk</t>
  </si>
  <si>
    <t>From the total number of customers, what % were onboarded:</t>
  </si>
  <si>
    <t>a) on a face-to-face basis during the prior calendar year?</t>
  </si>
  <si>
    <t>FI-IR-05</t>
  </si>
  <si>
    <t>FI-IR-06</t>
  </si>
  <si>
    <t>FI-IR-07-NAP</t>
  </si>
  <si>
    <t>FI-IR-08-NAP</t>
  </si>
  <si>
    <t>Risk Evaluation Questionnaire - Jurisdiction Risk</t>
  </si>
  <si>
    <t>Jurisdiction Risk</t>
  </si>
  <si>
    <t>FI-JR-72-Other</t>
  </si>
  <si>
    <t>FI-JR-73-Other</t>
  </si>
  <si>
    <t>Is there any other entity (apart from subsidiaries or branches) within the group of companies in which your entity forms part, which carries out Relevant Financial Business and/or Relevant Activity in terms of Regulation 2 of the PMLFTR?</t>
  </si>
  <si>
    <t>FI-JR-74-Other</t>
  </si>
  <si>
    <t>Maltese</t>
  </si>
  <si>
    <t>Non-Maltese</t>
  </si>
  <si>
    <t>Please list the total number of customers for whom your entity carried out an occasional transaction during the prior calendar year.</t>
  </si>
  <si>
    <t>FI-PR-47-NAV</t>
  </si>
  <si>
    <t>Risk Evaluation Questionnaire</t>
  </si>
  <si>
    <r>
      <rPr>
        <b/>
        <i/>
        <u/>
        <sz val="11"/>
        <color rgb="FFFF0000"/>
        <rFont val="Roboto"/>
      </rPr>
      <t>Important:</t>
    </r>
    <r>
      <rPr>
        <i/>
        <sz val="11"/>
        <color theme="1"/>
        <rFont val="Roboto"/>
      </rPr>
      <t xml:space="preserve"> Kindly fill in the Questionnaire in the following order given that questions follow from answers in previous questions which can be situated in different sheets:</t>
    </r>
  </si>
  <si>
    <t>WEAVR (EUROPE) LTD</t>
  </si>
  <si>
    <t>BAMBOO PAYMENT EUROPE LIMITED</t>
  </si>
  <si>
    <t>Please indicate the total value of financial leasing repayments during the previous calendar year.</t>
  </si>
  <si>
    <t>Please provide the total value of repayments during the previous calendar year  for each type of lending facility:</t>
  </si>
  <si>
    <t>FI-PR-64-NAV</t>
  </si>
  <si>
    <t>FI-PR-65-NAV</t>
  </si>
  <si>
    <t>FI-PR-66-NAV</t>
  </si>
  <si>
    <t>FI-PR-68-NAV</t>
  </si>
  <si>
    <t>EU/EEA (Excluding Malta)</t>
  </si>
  <si>
    <t>Non-EU/Non-EEA</t>
  </si>
  <si>
    <t>Countries identified under the FATF 'High Risk Jurisdictions Subject to a Call for Action' and 'Jurisdictions Under Increased Monitoring' and the EU Commission Delegated Acts on High Risk Third Countries.</t>
  </si>
  <si>
    <t>Please provide the total number of natural persons or beneficial owners considered to be a PEP in each jurisdiction.</t>
  </si>
  <si>
    <t>South Sudan</t>
  </si>
  <si>
    <t>SS</t>
  </si>
  <si>
    <t>KP</t>
  </si>
  <si>
    <t>CI</t>
  </si>
  <si>
    <t>If your entity makes use of vIBAN accounts services provided by another institution, and where your entity distributed vIBAN accounts to customers who are not natural persons, please provide the total number of customers incorporated/registered in each juridiction.</t>
  </si>
  <si>
    <t>AF</t>
  </si>
  <si>
    <t>DZ</t>
  </si>
  <si>
    <t>AO</t>
  </si>
  <si>
    <t>BG</t>
  </si>
  <si>
    <t>BF</t>
  </si>
  <si>
    <t>CM</t>
  </si>
  <si>
    <t>CD</t>
  </si>
  <si>
    <t>HT</t>
  </si>
  <si>
    <t>KE</t>
  </si>
  <si>
    <t>LB</t>
  </si>
  <si>
    <t>ML</t>
  </si>
  <si>
    <t>MZ</t>
  </si>
  <si>
    <t>MM</t>
  </si>
  <si>
    <t>NA</t>
  </si>
  <si>
    <t>NG</t>
  </si>
  <si>
    <t>ZA</t>
  </si>
  <si>
    <t>SY</t>
  </si>
  <si>
    <t>TZ</t>
  </si>
  <si>
    <t>TT</t>
  </si>
  <si>
    <t>VU</t>
  </si>
  <si>
    <t>VE</t>
  </si>
  <si>
    <t>VN</t>
  </si>
  <si>
    <t>YE</t>
  </si>
  <si>
    <t>Errors in Sheet</t>
  </si>
  <si>
    <t>If you are a respondent institution, please indicate the total number of correspondent institution/s established per jurisdiction</t>
  </si>
  <si>
    <t>As at end of the previous calendar year, please indicate the total number of customers who are natural persons residing in each jurisdiction.</t>
  </si>
  <si>
    <t>As at end of the previous calendar year, please provide the total number of customers who are not natural persons incorporated/registered in each jurisdiction.</t>
  </si>
  <si>
    <t>As at end of the previous calendar year, in the case of customers who are not natural persons, please provde the total number of BO's residing in each jurisdiction.</t>
  </si>
  <si>
    <t>Product Risk - Financial Leasing</t>
  </si>
  <si>
    <t>Product Risk - Payment services set out in the Second Schedule of the Financial Institutions Act</t>
  </si>
  <si>
    <t>Product Risk - Issuing of electronic money as defined in the Third Schedule of the Financial Institutions Act</t>
  </si>
  <si>
    <t>Product Risk - Guarantees and commitments</t>
  </si>
  <si>
    <t>Product Risk - Lending services</t>
  </si>
  <si>
    <t>Product Risk - Money broking</t>
  </si>
  <si>
    <t>Product Risk - Issuing and administering other means of payment</t>
  </si>
  <si>
    <t>Product Risk - Underwriting share issues and participation in such issues</t>
  </si>
  <si>
    <t>10)</t>
  </si>
  <si>
    <t>11)</t>
  </si>
  <si>
    <t>Product Risk - Venture or risk capital</t>
  </si>
  <si>
    <t>Customer Risk - Payment services set out in the Second Schedule of the Financial Institutions Act</t>
  </si>
  <si>
    <t>Customer Risk - Issuing of electronic money as defined in the Third Schedule of the Financial Institutions Act</t>
  </si>
  <si>
    <t>Customer Risk - Financial leasing</t>
  </si>
  <si>
    <t>Customer Risk - Guarantees and commitments</t>
  </si>
  <si>
    <t>Customer Risk - Lending services</t>
  </si>
  <si>
    <t>Customer Risk - Money broking</t>
  </si>
  <si>
    <t>Customer Risk - Issuing and administering other means of payment</t>
  </si>
  <si>
    <t>Customer Risk - Underwriting share issues and participation in such issues</t>
  </si>
  <si>
    <t>Customer Risk - Venture or risk capital</t>
  </si>
  <si>
    <t>Jurisdiction Risk - Financial Leasing</t>
  </si>
  <si>
    <r>
      <t>Unless indicated otherwise, any question requesting monetary "value" should be answered in</t>
    </r>
    <r>
      <rPr>
        <b/>
        <i/>
        <sz val="11"/>
        <rFont val="Roboto"/>
      </rPr>
      <t xml:space="preserve"> Euro</t>
    </r>
  </si>
  <si>
    <t>Are there any value limits placed on other means of payment that you issue or administer?</t>
  </si>
  <si>
    <t>To how many merchants did your entity provide services relating to the acquiring of payment transactions during the previous calendar year?</t>
  </si>
  <si>
    <t>FI-PR-48-NAV</t>
  </si>
  <si>
    <t>If your entity provided financial leasing to customers who are natural persons during the previous calendar year, please provide the total number of customers residing in each jurisdiction.</t>
  </si>
  <si>
    <t>If your entity was acting as a correspondent institution by providing correspondent activities to respondent institutions during the previous calendar year, please indicate the jurisdictions where the respondent institution/s are established.</t>
  </si>
  <si>
    <t>If your entity provided financial leasing to customers who are not natural persons during the previous calendar year, please provide the total number of customers incorporated/registered in each jurisdiction.</t>
  </si>
  <si>
    <t>If your entity provided money remittance to customers who are natural persons during the previous calendar year, please provide the total number of customers residing in each jurisdiction.</t>
  </si>
  <si>
    <t>FI-JR-52-Other</t>
  </si>
  <si>
    <t>Do you have prohibitions on particular countries from/to where money remittance transactions are sent?</t>
  </si>
  <si>
    <t>If your entity provided money remittance to customers who are not natural persons during the previous calendar year, please provide the total number of customers incorporated/registered in each jurisdiction.</t>
  </si>
  <si>
    <t>If your entity provided access to a payment account to customers who are not natural persons during the previous calendar year, please provide the total number of customers incorporated/registered in each jurisdiction.</t>
  </si>
  <si>
    <t>What is the total value of ATM withdrawals from ATM machines in each jurisdiction?</t>
  </si>
  <si>
    <t>If your entity provided payment acquiring services during the previous calendar year, please provide the total number of merchants incorporated/registered/located in each jurisdiction.</t>
  </si>
  <si>
    <t>If your entity provided vIBAN services to institutions providing relevant financial business as defined in Regulation 2 of the PMLFTR during the previous calendar year, please provide the total number of institutions located in each jurisdiction.</t>
  </si>
  <si>
    <t>If your entity provides emoney accounts to customers who are natural persons, please provide the total number of customers residing in each jurisdiction.</t>
  </si>
  <si>
    <t>If your entity provides emoney accounts to customers who are not natural persons, please provide the total number of customers incorporated/registered in each jurisdiction.</t>
  </si>
  <si>
    <t>Jurisdiction Risk - Issuing of electronic money as defined in the Third Schedule of the Financial Institutions Act</t>
  </si>
  <si>
    <t>Jurisdiction Risk - Payment services set out in the Second Schedule of the Financial Institutions Act</t>
  </si>
  <si>
    <t>Jurisdiction Risk - Guarantees and commitments</t>
  </si>
  <si>
    <t>If your entity provided guarantees and other commitments to customers who are natural persons during the previous calendar year, please provide the total number of customers residing in each jurisdiction.</t>
  </si>
  <si>
    <t>If your entity provided  guarantees and other commitments who are not natural persons during the previous calendar year, please provide the total number of customers incorporated/registered in each jurisdiction.</t>
  </si>
  <si>
    <t>Please provide the total number of third parties involved in the guarantees or other committments residing in each jurisdiction.</t>
  </si>
  <si>
    <t>Jurisdiction Risk - Lending services</t>
  </si>
  <si>
    <t>FI-JR-72, 73, 74</t>
  </si>
  <si>
    <t>Yes, Relevant Financial Business</t>
  </si>
  <si>
    <t>Yes, Relevant Activity</t>
  </si>
  <si>
    <t>Yes, both Relevant Financial Business and Relevant Activity</t>
  </si>
  <si>
    <t>EU or Non-EU Jurisdictions?:</t>
  </si>
  <si>
    <t>EU</t>
  </si>
  <si>
    <t>Non-EU</t>
  </si>
  <si>
    <t>Both</t>
  </si>
  <si>
    <t>Does your entity have establishments by means of subsidiaries in EU and/or non-EU jurisdictions offering relevant financial business and/or relevant activity in terms of Regulation 2 of the PMLFTR?</t>
  </si>
  <si>
    <t>Does your entity have establishments by means of branches in EU and/or non-EU jurisdictions offering relevant financial business and/or relevant activity in terms of Regulation 2 of the PMLFTR?</t>
  </si>
  <si>
    <t>Jurisdiction Risk - Money broking</t>
  </si>
  <si>
    <t>Jurisdiction Risk - Underwriting share issues and participation in such issues</t>
  </si>
  <si>
    <t>Jurisdiction Risk - Venture or risk capital</t>
  </si>
  <si>
    <t>If your entity acted as a money broker for counterparties who are natural persons during the previous calendar year, please provide the total number of cutomers residing in each jurisdiction.</t>
  </si>
  <si>
    <t>FI-JR-65</t>
  </si>
  <si>
    <t>If your entity acted as a money broker for counterparties who are not natural persons during the previous calendar year, please provide the total number of customers incorporated/registered in each jurisdiction.</t>
  </si>
  <si>
    <t>FI-JR-66</t>
  </si>
  <si>
    <t>FI-JR-68</t>
  </si>
  <si>
    <t>FI-JR-62</t>
  </si>
  <si>
    <t>FI-JR-63</t>
  </si>
  <si>
    <t>FI-JR-30</t>
  </si>
  <si>
    <t xml:space="preserve">If, during the previous calendar year, your entity provided venture or risk capital financing to customers who are natural persons, please provide the total number of customers residing in each jurisdiction. </t>
  </si>
  <si>
    <t>FI-JR-31</t>
  </si>
  <si>
    <t>If, during the previous calendar year, your entity provided venture or risk capital financing to customers who are not natural persons, please provide the total number of customers incorporated/registered in each jurisdiction.</t>
  </si>
  <si>
    <t>For each type of lending facility, please provide the total number of customers who are not natural persons incorporated/registered per jurisdiction:</t>
  </si>
  <si>
    <t>FI-JR-18</t>
  </si>
  <si>
    <t>FI-JR-19</t>
  </si>
  <si>
    <t>FI-JR-20</t>
  </si>
  <si>
    <t>FI-JR-22</t>
  </si>
  <si>
    <t>If your entity makes use of vIBAN accounts services provided by another institution, please indicate the  jurisdiction in which your entity's vIBAN service provider is located.</t>
  </si>
  <si>
    <t>(a) money market instruments, (b) foreign exchange, (c) financial futures and options, (d) exchange and interest rate instruments, (e) transferable securities</t>
  </si>
  <si>
    <t>Customer Risk - Trading for own account or for account of customers in:</t>
  </si>
  <si>
    <t>Product Risk - Trading for own account or for account of customers in:</t>
  </si>
  <si>
    <t>Jurisdiction Risk - Trading for own account or for account of customers in:</t>
  </si>
  <si>
    <t>FI-SP-04</t>
  </si>
  <si>
    <t>FI-SP-05</t>
  </si>
  <si>
    <t>FI-SP-06</t>
  </si>
  <si>
    <t>How many customers of your customer portfolio are receiving trading services as at end of the last calendar year?</t>
  </si>
  <si>
    <t>FI-MD</t>
  </si>
  <si>
    <t>If your entity makes use of vIBAN accounts services provided by another institution, and where your entity distributed vIBAN accounts to customers who are natural persons, please provide the total number of customers residing in each jurisdiction.</t>
  </si>
  <si>
    <t>How many customers benefitted from services relating to other means of payment in terms of point (5) of the First Schedule in the Financial Institutions Act during the last calendar year?</t>
  </si>
  <si>
    <t>If, during the previous calendar year, your entity provided trading services to customers who are natural persons, please provide the total number of customers residing in each jurisdiction.</t>
  </si>
  <si>
    <t>If, during the previous calendar year, your entity provided trading services to customers who are not natural persons, please provide the total number of customers incorporated/registered in each jurisdiction.</t>
  </si>
  <si>
    <t>Please list the number of ML/FT related alerts generated as part of transaction monitoring during the prior calendar year.</t>
  </si>
  <si>
    <t>Do you place any limits on the value of outgoing money remittance requested by your customers?</t>
  </si>
  <si>
    <t>Do you place any limits on the value of incoming money remittance?</t>
  </si>
  <si>
    <t>What is the value of outgoing money remittance funded through cash deposits during the previous calendar year?</t>
  </si>
  <si>
    <t>How many debit cards linked to payment accounts were active as at end of the previous calendar year?</t>
  </si>
  <si>
    <t>How many credit cards linked to payment accounts were active as at end of the previous calendar year?</t>
  </si>
  <si>
    <t>FI-PR-29-NAV</t>
  </si>
  <si>
    <t>FI-PP-13-07-Other</t>
  </si>
  <si>
    <t>if Not Available (applies for the entire question):</t>
  </si>
  <si>
    <t>Guidance to Complete the REQ</t>
  </si>
  <si>
    <r>
      <t xml:space="preserve">To ensure that the full question text is showing, please ensure that each sheet is set at </t>
    </r>
    <r>
      <rPr>
        <b/>
        <i/>
        <sz val="11"/>
        <rFont val="Roboto"/>
      </rPr>
      <t>100% zoom</t>
    </r>
    <r>
      <rPr>
        <i/>
        <sz val="11"/>
        <rFont val="Roboto"/>
      </rPr>
      <t>.</t>
    </r>
  </si>
  <si>
    <t>Employment in full-time equivalent ("FTE") is a conversion method used to measure the number of employees according to the number of hours worked. When using FTE, a full-time employee working a 40 hour week is equivalent to 1, whereas a person who works 20 hours per week is equivalent to 0.5. Self employed should be included in the FTEs calculation.</t>
  </si>
  <si>
    <t>b) Automated tools</t>
  </si>
  <si>
    <t>STABLE MINT LTD.</t>
  </si>
  <si>
    <t>Please provide the value of outgoing transactions through correspondent relationships for the previous calendar year.</t>
  </si>
  <si>
    <t>Please provide the value of incoming transactions through correspondent relationships for the previous calendar year.</t>
  </si>
  <si>
    <t>What is the value of acquired payments during the previous calendar year?</t>
  </si>
  <si>
    <t>What is the volume of acquired payments during the previous calendar year?</t>
  </si>
  <si>
    <t>Are you aware of the total number of redistributed vIBAN accounts by institutions providing relevant financial business as defined in Regulation 2 of the PMLFTR?</t>
  </si>
  <si>
    <t>Please list the total number of redistributed vIBAN accounts by institutions providing relevant financial business as defined in Regulation 2 of the PMLFTR as end of the previous calendar year.</t>
  </si>
  <si>
    <t>Please indicate the total value of cash funding during the previous calendar year.</t>
  </si>
  <si>
    <t xml:space="preserve">Please indicate the total number of customers to whom your entity was providing underwriting of shares services during the previous calendar year are registered in each jurisdiction. </t>
  </si>
  <si>
    <t>FI-REQ</t>
  </si>
  <si>
    <t>Sector of Subject Person</t>
  </si>
  <si>
    <t>Please provide the total number of agent/ distributor/ introducer/ intermediary operating in each jurisdiction.</t>
  </si>
  <si>
    <t>Yes, both pre-transaction and post-transaction</t>
  </si>
  <si>
    <t>Please specify the obligations that are being outsourced.</t>
  </si>
  <si>
    <t>What is the frequency of assessing the quality of the services provided?</t>
  </si>
  <si>
    <t>List the service provider/s to whom AML/CFT obligations have been outsourced.</t>
  </si>
  <si>
    <t>If 'Yes', please explain.</t>
  </si>
  <si>
    <t>Please indicate the jurisdictions were the service provider/s to whom you have outsourced are located.</t>
  </si>
  <si>
    <t xml:space="preserve">a) </t>
  </si>
  <si>
    <t xml:space="preserve">b) </t>
  </si>
  <si>
    <t xml:space="preserve">c) </t>
  </si>
  <si>
    <t xml:space="preserve">d) </t>
  </si>
  <si>
    <t xml:space="preserve">e) </t>
  </si>
  <si>
    <t xml:space="preserve">f) </t>
  </si>
  <si>
    <t xml:space="preserve">g) </t>
  </si>
  <si>
    <t xml:space="preserve">h) </t>
  </si>
  <si>
    <t xml:space="preserve">i) </t>
  </si>
  <si>
    <t xml:space="preserve">j) </t>
  </si>
  <si>
    <t>d) Checks are outsourced</t>
  </si>
  <si>
    <t>FI-JR-12</t>
  </si>
  <si>
    <t>FI-JR-13</t>
  </si>
  <si>
    <t>FI-JR-14</t>
  </si>
  <si>
    <t>FI-JR-15</t>
  </si>
  <si>
    <t>Please state the total number of customers for whom an occassional transaction was processed during the prior calendar year who were:</t>
  </si>
  <si>
    <t>Both Maltese and Non-Maltese</t>
  </si>
  <si>
    <t>Please ensure that the values of the ‘Positive Validations’ column above matches the value of ‘Total Validation Checks’ column. If an Error message is shown, the ‘Error Validations’ column would show a value greater than 0. In such cases, kindly review the tab indicating an error validation to ensure that all questions marked in red in the respective sheet have been answered. Failure to do so may result in a rejection of the REQ during the review process. 
By submitting this REQ through the designated portal, you confirm that the information provided in this questionnaire is accurate and complete. The Subject Person will be prompted to complete payment for the REQ submission on the CASPAR portal. Payment instructions will be communicated through an official notification when due.
Failure to submit the REQ within the respective deadline contravenes Regulation 19 of the Prevention of Money Laundering and Funding of Terrorism Regulations (PMLFTR) and Section 5.12 of the Implementing Procedures. Consequently, subject persons found in breach may be liable to the imposition of an administrative measure, including the imposition of an administrative penalty in terms of Regulation 21 of the PMLFTR.</t>
  </si>
  <si>
    <r>
      <t xml:space="preserve">This Return should be submitted to the Authority via the LH Portal. Any technical difficulties should be addressed to Technical Support via the </t>
    </r>
    <r>
      <rPr>
        <u/>
        <sz val="12"/>
        <color rgb="FF002B96"/>
        <rFont val="Roboto"/>
      </rPr>
      <t>Contact Us</t>
    </r>
    <r>
      <rPr>
        <sz val="12"/>
        <color theme="1"/>
        <rFont val="Roboto"/>
      </rPr>
      <t xml:space="preserve"> page. For queries or difficulties regarding the contents of the REQ submission files, kindly choose REQ Submissions via the Contact Us page.</t>
    </r>
  </si>
  <si>
    <t>Shift4 Limited</t>
  </si>
  <si>
    <t>01/01/2025 - 31/12/2025</t>
  </si>
  <si>
    <t>Out of the following, please select the products and services that have been offered by your entity as a Financial Institution during the previous calendar year:</t>
  </si>
  <si>
    <t>Issuing and administering other means of payment, where this activity is not covered by (d) above</t>
  </si>
  <si>
    <t>Trading for own account or for account of customers in: (a), (b), (c), (d), (e) above</t>
  </si>
  <si>
    <t>Please provide the total value of your lending portfolio as at end of the previous calendar year for the following:</t>
  </si>
  <si>
    <t>Please list the number of business relationships where the customer is part of a multi-tier ownership structure (i.e. at least two additional layers of legal persons or arrangements on top of the customer)</t>
  </si>
  <si>
    <t>Please list the number of customers who are natural persons serviced during the prior calendar year, that benefited from residency schemes, citizenship by investment schemes, or are applicants or prospective applicants for such schemes issued by Malta.</t>
  </si>
  <si>
    <t>Please list the number of customers who are natural persons serviced during the prior calendar year, that benefited from residency schemes, citizenship by investment schemes, or are applicants or prospective applicants for such schemes issued by countries other than Malta.</t>
  </si>
  <si>
    <t>FI-CR-20</t>
  </si>
  <si>
    <t>How many customers to whom your entity provides vIBAN services during the previous calendar year, were institutions providing relevant financial business as defined in Regulation 2 of the PMLFTR?</t>
  </si>
  <si>
    <t>To how many customers did your entity provide underwriting of shares services as at end of the previous calendar year?</t>
  </si>
  <si>
    <t>Less than 1 year</t>
  </si>
  <si>
    <t>3 - 4 years</t>
  </si>
  <si>
    <t>5 - 6 years</t>
  </si>
  <si>
    <t>7 - 8 years</t>
  </si>
  <si>
    <t>9 - 10 years</t>
  </si>
  <si>
    <t>How many staff members expressed in full time equivalent (FTE) are part of the AML/CFT team (if one exists)?</t>
  </si>
  <si>
    <t>How many staff members in the AML/CFT team expressed in full time equivalent (FTE) are also responsible for other roles and responsibilities not attributable to AML/CFT (e.g. front office / back office etc.)?</t>
  </si>
  <si>
    <t>In the past five (5) years, were any employees (including directors and partners) disciplined for non-compliance with the AML/CFT policies and procedures?</t>
  </si>
  <si>
    <t>Has your entity outsourced the carrying out of any applicable AML/CFT obligations?</t>
  </si>
  <si>
    <t>Please provide the % of board members that completed AML/CFT training throughout the prior calendar year.</t>
  </si>
  <si>
    <t>Please provide the % of senior management members that completed AML/CFT training throughout the prior calendar year.</t>
  </si>
  <si>
    <t>Please provide the % of staff within the AML/CFT compliance team that completed AML/CFT training throughout the prior calendar year.</t>
  </si>
  <si>
    <t>Specific Maltese AML/CFT regulations (PMLA, PMLFTR, IPs)</t>
  </si>
  <si>
    <t>AML/CFT policies and procedures relating to the subject person</t>
  </si>
  <si>
    <t>If there is use of intermediaries, brokers, agents, distributors, and/or introducers, does your entity have policies and procedures in place to assess their AML/CFT compliance framework?</t>
  </si>
  <si>
    <t>How often does your entity assess the conduct and integrity of employees (including partners or directors) handling relevant financial business and/or relevant activity?</t>
  </si>
  <si>
    <t>Medium</t>
  </si>
  <si>
    <t>What is your entity's most recent BRA controls effectiveness rating?</t>
  </si>
  <si>
    <t>Please indicate the jurisdictions which your entity considers as high risk.</t>
  </si>
  <si>
    <t>According to your entity's CAP, which customers are likely to pose a higher than average risk of ML/FT?</t>
  </si>
  <si>
    <t>How many customers are included in the entity's customer portfolio, where CDD has not been completed, but activity has begun or is completed?</t>
  </si>
  <si>
    <t>How many potential customers were refused onboarding for ML/FT reasons during the prior calendar year?</t>
  </si>
  <si>
    <t>How frequently does your entity review and/or update the entity's AML/CFT written policies and procedures?</t>
  </si>
  <si>
    <t>How do you determine whether customers and, where applicable their beneficial owners, are politically exposed persons (PEPs) or PEPs' family members or close associates?</t>
  </si>
  <si>
    <t>Please provide the % of members of staff involved in the activities that fall within the definition of 'relevant financial business' and/or 'relevant activity' that completed AML/CFT training throughout the prior calendar year.</t>
  </si>
  <si>
    <t>Does your entity provide AML/CFT training to brokers, agents and/or intermediaries, to ensure that they have an adequate understanding of relevant ML/FT risks, and on the AML/CFT policies and procedures mandated by your entity?</t>
  </si>
  <si>
    <t>How many internal suspicious activity/transactions reports (SARs/STRs) were raised during the previous calendar year?</t>
  </si>
  <si>
    <t>From the internal SARs/STRs raised in the previous calendar year, how many cases were still open as at end of January of the current calendar year?</t>
  </si>
  <si>
    <t>How many internal SARs/STRs drawn up during the prior calendar year were closed off without submitting a SAR/STR to the FIAU?</t>
  </si>
  <si>
    <t>Are customers' transactions monitored in real-time, pre-event, post-event, a combination of all, or a combination of pre-event and post-event?</t>
  </si>
  <si>
    <t>Pre-event</t>
  </si>
  <si>
    <t>Combination of all</t>
  </si>
  <si>
    <t>Combination of pre-event and post-event</t>
  </si>
  <si>
    <t>Please provide the total number of customers who had and/or have assets frozen, confiscated or seized (due to AML/CFT considerations)?</t>
  </si>
  <si>
    <t>At onboarding and every two years or more</t>
  </si>
  <si>
    <t>Not applicable (no intermediaries, etc, are used)</t>
  </si>
  <si>
    <t>FI-CR-21</t>
  </si>
  <si>
    <t>FI-CR-37</t>
  </si>
  <si>
    <t>FI-CR-38</t>
  </si>
  <si>
    <t>FI-CR-39</t>
  </si>
  <si>
    <t>FATF list</t>
  </si>
  <si>
    <t>Lao PDR</t>
  </si>
  <si>
    <t>Vietnam</t>
  </si>
  <si>
    <t>Virgin Islands (UK)</t>
  </si>
  <si>
    <t>MN</t>
  </si>
  <si>
    <t>BO</t>
  </si>
  <si>
    <t>LA</t>
  </si>
  <si>
    <t>NP</t>
  </si>
  <si>
    <t>VI</t>
  </si>
  <si>
    <t>Russia</t>
  </si>
  <si>
    <t>RU</t>
  </si>
  <si>
    <t>Where AML/CFT operational tasks are being outsourced, have the service provider's staff, received training during the previous calendar year in relation to:</t>
  </si>
  <si>
    <t>For each type of lending facility, please provide the total number of customers who are natural persons residing per jurisdiction:</t>
  </si>
  <si>
    <t>What is the total value of shares that were subject to underwriting by your entity at end of the previous calendar year?</t>
  </si>
  <si>
    <t>FI-PR-55-NAP</t>
  </si>
  <si>
    <t>FI-BR-07-NAP</t>
  </si>
  <si>
    <t>FI-CA-10-NAP</t>
  </si>
  <si>
    <t>FI-TM-08-NAP</t>
  </si>
  <si>
    <t>FI-TM-12-NAV</t>
  </si>
  <si>
    <t>FI-TM-10-NAP</t>
  </si>
  <si>
    <t>FI-TM-15-NAP</t>
  </si>
  <si>
    <t>Subject Person Information</t>
  </si>
  <si>
    <t>Subject persons are required, for each of the questions included in this questionnaire, to choose the answer option that is best suited to the subject person. The FIAU acknowledges that the answer options defined by it do not always fully capture the actual situation within each subject person. When choosing from the answer options available it is therefore important to select an option that is a true reflection of the actual situation within the subject person's operations. In the text box, you can formulate general remarks on the subject person's operation. Please note that these general remarks are not taken into account in the initial automated analysis of the answers submitted.
The answers submitted are subject to quality checks by the FIAU from time to time, and therefore it is essential to provide a true and fair reflection of the current situation.</t>
  </si>
  <si>
    <t>FI-SP-01</t>
  </si>
  <si>
    <t>REQ - Subject Person Information</t>
  </si>
  <si>
    <t>IDT Services Limited</t>
  </si>
  <si>
    <t>Payfuture FS MT Ltd</t>
  </si>
  <si>
    <t>PH EMI Limited</t>
  </si>
  <si>
    <t>Pontarius Ltd (trading as Centranx)</t>
  </si>
  <si>
    <t>Valletta Credit Finance Corporation Ltd.</t>
  </si>
  <si>
    <t>Valu Solutions Ltd.</t>
  </si>
  <si>
    <t>Windcave Limited</t>
  </si>
  <si>
    <t>Alunafi Ltd.</t>
  </si>
  <si>
    <r>
      <t xml:space="preserve">To how many respondents is downstream correspondent banking (i.e., nested relationships) provided by your entity? 
</t>
    </r>
    <r>
      <rPr>
        <i/>
        <sz val="11"/>
        <color theme="1"/>
        <rFont val="Roboto"/>
      </rPr>
      <t>(Nested relationship is the use of a correspondent relationship by a number of respondent institutions through their relationships with the financial institutions' direct respondent institution to conduct transactions and obtain access to other financial service)</t>
    </r>
  </si>
  <si>
    <r>
      <t xml:space="preserve">Please specify the total value of outgoing money remittance transactions during the previous calendar year where the customer sending the funds had an account with your entity </t>
    </r>
    <r>
      <rPr>
        <i/>
        <sz val="11"/>
        <color theme="1"/>
        <rFont val="Roboto"/>
      </rPr>
      <t>(i.e., funds were sent from your customer who holds an account with your entity to a beneficiary not holding an account with another financial institution).</t>
    </r>
  </si>
  <si>
    <r>
      <t xml:space="preserve">What is the total value of incoming payments executed to payment accounts during the previous calendar year? 
</t>
    </r>
    <r>
      <rPr>
        <i/>
        <sz val="11"/>
        <color theme="1"/>
        <rFont val="Roboto"/>
      </rPr>
      <t>(i.e. execution of transactions under points 2(c) and 2(d) of the Second Schedule of the Financial Institutions Act)</t>
    </r>
  </si>
  <si>
    <r>
      <t xml:space="preserve">What is the total value of outgoing payments executed from payment accounts during the previous calendar year? 
</t>
    </r>
    <r>
      <rPr>
        <i/>
        <sz val="11"/>
        <color theme="1"/>
        <rFont val="Roboto"/>
      </rPr>
      <t>(i.e. execution of transactions under points 2(c) and 2(d) of the Second Schedule of the Financial Institutions Act)</t>
    </r>
  </si>
  <si>
    <r>
      <t xml:space="preserve">Does your entity issue any other type of cards? </t>
    </r>
    <r>
      <rPr>
        <i/>
        <sz val="11"/>
        <color theme="1"/>
        <rFont val="Roboto"/>
      </rPr>
      <t>(apart from debit cards, credit cards and prepaid cards)</t>
    </r>
  </si>
  <si>
    <t>Any EU/EEA or Non-EU/Non-EEA jurisdictions identified by the FATF as 'High Risk Jurisdictions Subject to a Call for Action' or 'Jurisdictions Under Increased Monitoring' and/or the EU Commission Delegated Acts on High Risk Third Countries should be recorded  under the option "Countries identified under the FATF 'High Risk Jurisdictions Subject to a Call for Action' and 'Jurisdictions Under Increased Monitoring' and the EU Commission Delegated Acts on High Risk Third Countries". This list is as at 31 December 2025.</t>
  </si>
  <si>
    <t>FI-CA-12-01</t>
  </si>
  <si>
    <t>FI-CA-12-02</t>
  </si>
  <si>
    <t>FI-CA-12-03</t>
  </si>
  <si>
    <t>FI-CA-12-04</t>
  </si>
  <si>
    <t>FI-CA-12-05</t>
  </si>
  <si>
    <t>FI-CA-12-06</t>
  </si>
  <si>
    <t>FI-CA-13-01</t>
  </si>
  <si>
    <t>FI-CA-13-02</t>
  </si>
  <si>
    <t>FI-CA-13-03</t>
  </si>
  <si>
    <t>FI-CA-13-04</t>
  </si>
  <si>
    <t>FI-CA-13-05</t>
  </si>
  <si>
    <t>FI-CA-13-06</t>
  </si>
  <si>
    <t>FI-CA-14-01</t>
  </si>
  <si>
    <t>FI-CA-14-02</t>
  </si>
  <si>
    <t>FI-CA-14-03</t>
  </si>
  <si>
    <t>FI-CA-14-04</t>
  </si>
  <si>
    <t>FI-CA-14-05</t>
  </si>
  <si>
    <t>FI-CA-14-06</t>
  </si>
  <si>
    <t>FI-CA-12-NAP</t>
  </si>
  <si>
    <t>FI-CA-13-NAP</t>
  </si>
  <si>
    <t>FI-CA-14-NAP</t>
  </si>
  <si>
    <r>
      <t xml:space="preserve">What are the 3 highest customer risk factors resulting from the BRA?
</t>
    </r>
    <r>
      <rPr>
        <i/>
        <sz val="10"/>
        <color theme="1"/>
        <rFont val="Roboto"/>
      </rPr>
      <t>For this question, you are required to identify and list the three highest residual risk factors across the following categories: customers, products/services, geography, and interface. If for instance, the BRA identifies two high-risk factors under the customer category, while the remaining factors in this category are classified as medium or low risk, you should use your judgmental analysis to determine and list the most significant risk factor from the medium-risk category for the third selection.</t>
    </r>
  </si>
  <si>
    <r>
      <t xml:space="preserve">What are the 3 highest product/service/transaction risk factors resulting from the BRA?
</t>
    </r>
    <r>
      <rPr>
        <i/>
        <sz val="10"/>
        <color theme="1"/>
        <rFont val="Roboto"/>
      </rPr>
      <t>For this question, you are required to identify and list the three highest residual risk factors across the following categories: customers, products/services, geography, and interface. If for instance, the BRA identifies two high-risk factors under the customer category, while the remaining factors in this category are classified as medium or low risk, you should use your judgmental analysis to determine and list the most significant risk factor from the medium-risk category for the third selection.</t>
    </r>
  </si>
  <si>
    <r>
      <t xml:space="preserve">What are the 3 highest geographical risk factors resulting from the BRA?
</t>
    </r>
    <r>
      <rPr>
        <i/>
        <sz val="10"/>
        <color theme="1"/>
        <rFont val="Roboto"/>
      </rPr>
      <t>For this question, you are required to identify and list the three highest residual risk factors across the following categories: customers, products/services, geography, and interface. If for instance, the BRA identifies two high-risk factors under the customer category, while the remaining factors in this category are classified as medium or low risk, you should use your judgmental analysis to determine and list the most significant risk factor from the medium-risk category for the third selection.</t>
    </r>
  </si>
  <si>
    <r>
      <t xml:space="preserve">What are the 3 highest interface risk factors resulting from the BRA?
</t>
    </r>
    <r>
      <rPr>
        <i/>
        <sz val="10"/>
        <color theme="1"/>
        <rFont val="Roboto"/>
      </rPr>
      <t>For this question, you are required to identify and list the three highest residual risk factors across the following categories: customers, products/services, geography, and interface. If for instance, the BRA identifies two high-risk factors under the customer category, while the remaining factors in this category are classified as medium or low risk, you should use your judgmental analysis to determine and list the most significant risk factor from the medium-risk category for the third selection.</t>
    </r>
  </si>
  <si>
    <t>FI-MD-01-01</t>
  </si>
  <si>
    <t>FI-MD-01-02</t>
  </si>
  <si>
    <t>FI-MD-01-03</t>
  </si>
  <si>
    <t>FI-MD-01-04</t>
  </si>
  <si>
    <t>FI-MD-01-05</t>
  </si>
  <si>
    <t>FI-MD-01-06</t>
  </si>
  <si>
    <t>Risk Evaluation Questionnaire - Subject Person Information</t>
  </si>
  <si>
    <t xml:space="preserve">EPG Financial Services Limited </t>
  </si>
  <si>
    <t xml:space="preserve">Finance Incorporated Limited </t>
  </si>
  <si>
    <t>Paytently PI Limited</t>
  </si>
  <si>
    <t xml:space="preserve">OpenPayd Financial Services Malta Limited </t>
  </si>
  <si>
    <t xml:space="preserve">St. Julian's Maritime Finance Limited </t>
  </si>
  <si>
    <t xml:space="preserve">Paydo EU Ltd </t>
  </si>
  <si>
    <t>FINBY FINANCE LIMITED</t>
  </si>
  <si>
    <t>FM Finance (Malta) Ltd</t>
  </si>
  <si>
    <r>
      <rPr>
        <sz val="11"/>
        <color theme="0" tint="-0.499984740745262"/>
        <rFont val="Roboto"/>
      </rPr>
      <t>Please indicate the respective jurisdictions.</t>
    </r>
    <r>
      <rPr>
        <i/>
        <sz val="11"/>
        <color theme="0" tint="-0.499984740745262"/>
        <rFont val="Roboto"/>
      </rPr>
      <t xml:space="preserve">
</t>
    </r>
    <r>
      <rPr>
        <i/>
        <sz val="10"/>
        <color theme="0" tint="-0.499984740745262"/>
        <rFont val="Roboto"/>
      </rPr>
      <t>Exclude jurisdictions considered as Non-Reputable in terms of Chapter 8 of the Implementing Procedures as at the end of the prior calendar 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</si>
</sst>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2]\ * #,##0.00_-;\-[$€-2]\ * #,##0.00_-;_-[$€-2]\ * &quot;-&quot;??_-;_-@_-"/>
  </numFmts>
  <fonts count="57" x14ac:knownFonts="1">
    <font>
      <sz val="11"/>
      <color theme="1"/>
      <name val="Aptos Narrow"/>
      <family val="2"/>
      <scheme val="minor"/>
    </font>
    <font>
      <sz val="11"/>
      <color theme="1"/>
      <name val="Aptos Narrow"/>
      <family val="2"/>
      <scheme val="minor"/>
    </font>
    <font>
      <sz val="10"/>
      <name val="Arial"/>
      <family val="2"/>
    </font>
    <font>
      <b/>
      <i/>
      <sz val="12"/>
      <name val="Roboto"/>
    </font>
    <font>
      <sz val="11"/>
      <color theme="1"/>
      <name val="Roboto"/>
    </font>
    <font>
      <b/>
      <i/>
      <sz val="16"/>
      <color rgb="FFEDD9C4"/>
      <name val="Roboto"/>
    </font>
    <font>
      <i/>
      <sz val="11"/>
      <color theme="1"/>
      <name val="Roboto"/>
    </font>
    <font>
      <sz val="10"/>
      <name val="Roboto"/>
    </font>
    <font>
      <b/>
      <i/>
      <sz val="15"/>
      <color rgb="FFEDD9C4"/>
      <name val="Roboto"/>
    </font>
    <font>
      <b/>
      <i/>
      <sz val="10"/>
      <color rgb="FFEDD9C4"/>
      <name val="Roboto"/>
    </font>
    <font>
      <sz val="8"/>
      <color theme="1"/>
      <name val="Roboto"/>
    </font>
    <font>
      <b/>
      <sz val="14"/>
      <color rgb="FFEDD9C4"/>
      <name val="Roboto"/>
    </font>
    <font>
      <sz val="12"/>
      <color theme="1"/>
      <name val="Roboto"/>
    </font>
    <font>
      <b/>
      <i/>
      <sz val="14"/>
      <color rgb="FF001038"/>
      <name val="Roboto"/>
    </font>
    <font>
      <b/>
      <sz val="12"/>
      <color theme="1"/>
      <name val="Roboto"/>
    </font>
    <font>
      <b/>
      <sz val="13"/>
      <color indexed="56"/>
      <name val="Calibri"/>
      <family val="2"/>
    </font>
    <font>
      <sz val="12"/>
      <color rgb="FFFF0000"/>
      <name val="Roboto"/>
    </font>
    <font>
      <sz val="12"/>
      <color rgb="FFFFC000"/>
      <name val="Roboto"/>
    </font>
    <font>
      <sz val="12"/>
      <color rgb="FF92D050"/>
      <name val="Roboto"/>
    </font>
    <font>
      <b/>
      <sz val="9"/>
      <color theme="0"/>
      <name val="Roboto"/>
    </font>
    <font>
      <b/>
      <sz val="10"/>
      <color theme="0"/>
      <name val="Roboto"/>
    </font>
    <font>
      <sz val="12"/>
      <color rgb="FFF4DCDC"/>
      <name val="Roboto"/>
    </font>
    <font>
      <b/>
      <i/>
      <sz val="10"/>
      <color rgb="FFF9D3A9"/>
      <name val="Roboto"/>
    </font>
    <font>
      <b/>
      <sz val="11"/>
      <color theme="1"/>
      <name val="Roboto"/>
    </font>
    <font>
      <i/>
      <sz val="10"/>
      <color theme="1"/>
      <name val="Roboto"/>
    </font>
    <font>
      <b/>
      <sz val="14"/>
      <color rgb="FF001038"/>
      <name val="Roboto"/>
    </font>
    <font>
      <i/>
      <sz val="10"/>
      <color theme="0" tint="-0.499984740745262"/>
      <name val="Roboto"/>
    </font>
    <font>
      <sz val="8"/>
      <name val="Aptos Narrow"/>
      <family val="2"/>
      <scheme val="minor"/>
    </font>
    <font>
      <sz val="11"/>
      <name val="Roboto"/>
    </font>
    <font>
      <i/>
      <sz val="11"/>
      <color theme="0" tint="-0.499984740745262"/>
      <name val="Roboto"/>
    </font>
    <font>
      <sz val="11"/>
      <color theme="0" tint="-0.14999847407452621"/>
      <name val="Roboto"/>
    </font>
    <font>
      <i/>
      <sz val="9"/>
      <color rgb="FFFF0000"/>
      <name val="Roboto"/>
    </font>
    <font>
      <sz val="11"/>
      <color theme="0"/>
      <name val="Roboto"/>
    </font>
    <font>
      <u/>
      <sz val="11"/>
      <color theme="10"/>
      <name val="Aptos Narrow"/>
      <family val="2"/>
      <scheme val="minor"/>
    </font>
    <font>
      <i/>
      <sz val="11"/>
      <color theme="0" tint="-0.249977111117893"/>
      <name val="Roboto"/>
    </font>
    <font>
      <i/>
      <sz val="10"/>
      <color theme="0" tint="-0.14999847407452621"/>
      <name val="Roboto"/>
    </font>
    <font>
      <i/>
      <sz val="11"/>
      <color theme="0" tint="-0.14999847407452621"/>
      <name val="Roboto"/>
    </font>
    <font>
      <i/>
      <sz val="12"/>
      <color theme="0" tint="-0.249977111117893"/>
      <name val="Roboto"/>
    </font>
    <font>
      <i/>
      <sz val="10"/>
      <color theme="0" tint="-0.249977111117893"/>
      <name val="Roboto"/>
    </font>
    <font>
      <i/>
      <sz val="10"/>
      <color theme="0" tint="-0.34998626667073579"/>
      <name val="Roboto"/>
    </font>
    <font>
      <b/>
      <i/>
      <sz val="11"/>
      <color theme="1"/>
      <name val="Roboto"/>
    </font>
    <font>
      <b/>
      <i/>
      <u/>
      <sz val="11"/>
      <color rgb="FFFF0000"/>
      <name val="Roboto"/>
    </font>
    <font>
      <sz val="11"/>
      <color theme="0" tint="-0.249977111117893"/>
      <name val="Roboto"/>
    </font>
    <font>
      <sz val="10"/>
      <color theme="1"/>
      <name val="Roboto"/>
    </font>
    <font>
      <i/>
      <sz val="10"/>
      <color theme="0"/>
      <name val="Roboto"/>
    </font>
    <font>
      <i/>
      <sz val="10"/>
      <color rgb="FFFF0000"/>
      <name val="Roboto"/>
    </font>
    <font>
      <b/>
      <i/>
      <sz val="10"/>
      <color rgb="FFFF0000"/>
      <name val="Roboto"/>
    </font>
    <font>
      <i/>
      <sz val="10"/>
      <name val="Roboto"/>
    </font>
    <font>
      <b/>
      <i/>
      <sz val="11"/>
      <color rgb="FF001038"/>
      <name val="Roboto"/>
    </font>
    <font>
      <i/>
      <sz val="11"/>
      <name val="Roboto"/>
    </font>
    <font>
      <b/>
      <i/>
      <sz val="11"/>
      <name val="Roboto"/>
    </font>
    <font>
      <i/>
      <sz val="8"/>
      <color rgb="FFFF0000"/>
      <name val="Roboto"/>
    </font>
    <font>
      <i/>
      <sz val="11"/>
      <color theme="0" tint="-0.34998626667073579"/>
      <name val="Roboto"/>
    </font>
    <font>
      <b/>
      <i/>
      <u/>
      <sz val="11"/>
      <color theme="10"/>
      <name val="Roboto"/>
    </font>
    <font>
      <u/>
      <sz val="12"/>
      <color rgb="FF002B96"/>
      <name val="Roboto"/>
    </font>
    <font>
      <b/>
      <i/>
      <u/>
      <sz val="11"/>
      <color rgb="FF467886"/>
      <name val="Roboto"/>
    </font>
    <font>
      <sz val="11"/>
      <color theme="0" tint="-0.499984740745262"/>
      <name val="Roboto"/>
    </font>
  </fonts>
  <fills count="11">
    <fill>
      <patternFill patternType="none"/>
    </fill>
    <fill>
      <patternFill patternType="gray125"/>
    </fill>
    <fill>
      <patternFill patternType="solid">
        <fgColor rgb="FF001038"/>
        <bgColor indexed="64"/>
      </patternFill>
    </fill>
    <fill>
      <patternFill patternType="solid">
        <fgColor rgb="FFCCCCC9"/>
        <bgColor indexed="64"/>
      </patternFill>
    </fill>
    <fill>
      <patternFill patternType="solid">
        <fgColor theme="0" tint="-0.249977111117893"/>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EDD9C4"/>
        <bgColor indexed="64"/>
      </patternFill>
    </fill>
    <fill>
      <patternFill patternType="solid">
        <fgColor theme="0" tint="-0.14999847407452621"/>
        <bgColor indexed="64"/>
      </patternFill>
    </fill>
  </fills>
  <borders count="24">
    <border>
      <left/>
      <right/>
      <top/>
      <bottom/>
      <diagonal/>
    </border>
    <border>
      <left/>
      <right/>
      <top/>
      <bottom style="medium">
        <color indexed="64"/>
      </bottom>
      <diagonal/>
    </border>
    <border>
      <left/>
      <right/>
      <top style="hair">
        <color indexed="64"/>
      </top>
      <bottom style="hair">
        <color indexed="64"/>
      </bottom>
      <diagonal/>
    </border>
    <border>
      <left/>
      <right/>
      <top/>
      <bottom style="thick">
        <color indexed="22"/>
      </bottom>
      <diagonal/>
    </border>
    <border>
      <left/>
      <right/>
      <top/>
      <bottom style="thick">
        <color rgb="FF001038"/>
      </bottom>
      <diagonal/>
    </border>
    <border>
      <left/>
      <right/>
      <top/>
      <bottom style="medium">
        <color rgb="FF001038"/>
      </bottom>
      <diagonal/>
    </border>
    <border>
      <left/>
      <right/>
      <top/>
      <bottom style="thin">
        <color rgb="FF001038"/>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hair">
        <color indexed="64"/>
      </top>
      <bottom/>
      <diagonal/>
    </border>
    <border>
      <left style="hair">
        <color indexed="64"/>
      </left>
      <right/>
      <top/>
      <bottom/>
      <diagonal/>
    </border>
  </borders>
  <cellStyleXfs count="9">
    <xf numFmtId="0" fontId="0" fillId="0" borderId="0"/>
    <xf numFmtId="43" fontId="1" fillId="0" borderId="0" applyFont="0" applyFill="0" applyBorder="0" applyAlignment="0" applyProtection="0"/>
    <xf numFmtId="0" fontId="2" fillId="0" borderId="0"/>
    <xf numFmtId="0" fontId="15" fillId="0" borderId="3" applyNumberFormat="0" applyFill="0" applyAlignment="0" applyProtection="0"/>
    <xf numFmtId="0" fontId="2" fillId="0" borderId="0"/>
    <xf numFmtId="0" fontId="4" fillId="5" borderId="0">
      <alignment horizontal="centerContinuous" vertical="center" wrapText="1" readingOrder="1"/>
    </xf>
    <xf numFmtId="9" fontId="1" fillId="0" borderId="0" applyFont="0" applyFill="0" applyBorder="0" applyAlignment="0" applyProtection="0"/>
    <xf numFmtId="43" fontId="1" fillId="0" borderId="0" applyFont="0" applyFill="0" applyBorder="0" applyAlignment="0" applyProtection="0"/>
    <xf numFmtId="0" fontId="33" fillId="0" borderId="0" applyNumberFormat="0" applyFill="0" applyBorder="0" applyAlignment="0" applyProtection="0"/>
  </cellStyleXfs>
  <cellXfs count="203">
    <xf numFmtId="0" fontId="0" fillId="0" borderId="0" xfId="0"/>
    <xf numFmtId="0" fontId="3" fillId="2" borderId="0" xfId="2" applyFont="1" applyFill="1" applyAlignment="1" applyProtection="1">
      <alignment horizontal="left" vertical="center"/>
      <protection hidden="1"/>
    </xf>
    <xf numFmtId="0" fontId="9" fillId="2" borderId="0" xfId="2" applyFont="1" applyFill="1" applyAlignment="1" applyProtection="1">
      <alignment horizontal="left"/>
      <protection hidden="1"/>
    </xf>
    <xf numFmtId="0" fontId="3" fillId="2" borderId="0" xfId="2" applyFont="1" applyFill="1" applyAlignment="1" applyProtection="1">
      <alignment horizontal="center" vertical="center"/>
      <protection hidden="1"/>
    </xf>
    <xf numFmtId="0" fontId="6" fillId="2" borderId="0" xfId="0" applyFont="1" applyFill="1" applyAlignment="1" applyProtection="1">
      <alignment horizontal="center"/>
      <protection hidden="1"/>
    </xf>
    <xf numFmtId="0" fontId="7" fillId="2" borderId="0" xfId="2" applyFont="1" applyFill="1" applyAlignment="1" applyProtection="1">
      <alignment horizontal="center" vertical="center"/>
      <protection hidden="1"/>
    </xf>
    <xf numFmtId="0" fontId="19" fillId="2" borderId="0" xfId="2" applyFont="1" applyFill="1" applyAlignment="1" applyProtection="1">
      <alignment horizontal="right"/>
      <protection hidden="1"/>
    </xf>
    <xf numFmtId="0" fontId="20" fillId="2" borderId="0" xfId="2" applyFont="1" applyFill="1" applyAlignment="1" applyProtection="1">
      <alignment horizontal="right"/>
      <protection hidden="1"/>
    </xf>
    <xf numFmtId="0" fontId="12" fillId="2" borderId="0" xfId="0" applyFont="1" applyFill="1" applyProtection="1">
      <protection hidden="1"/>
    </xf>
    <xf numFmtId="0" fontId="22" fillId="2" borderId="0" xfId="0" applyFont="1" applyFill="1" applyAlignment="1" applyProtection="1">
      <alignment horizontal="right"/>
      <protection hidden="1"/>
    </xf>
    <xf numFmtId="0" fontId="4" fillId="5" borderId="0" xfId="0" applyFont="1" applyFill="1" applyProtection="1">
      <protection hidden="1"/>
    </xf>
    <xf numFmtId="0" fontId="4" fillId="0" borderId="0" xfId="0" applyFont="1" applyProtection="1">
      <protection hidden="1"/>
    </xf>
    <xf numFmtId="0" fontId="10" fillId="9" borderId="0" xfId="0" applyFont="1" applyFill="1" applyAlignment="1" applyProtection="1">
      <alignment horizontal="center"/>
      <protection hidden="1"/>
    </xf>
    <xf numFmtId="0" fontId="4" fillId="2" borderId="6" xfId="0" applyFont="1" applyFill="1" applyBorder="1" applyProtection="1">
      <protection hidden="1"/>
    </xf>
    <xf numFmtId="43" fontId="19" fillId="2" borderId="0" xfId="1" applyFont="1" applyFill="1" applyAlignment="1" applyProtection="1">
      <alignment horizontal="center" vertical="center" wrapText="1"/>
      <protection hidden="1"/>
    </xf>
    <xf numFmtId="0" fontId="4" fillId="5" borderId="0" xfId="0" applyFont="1" applyFill="1" applyAlignment="1" applyProtection="1">
      <alignment vertical="center"/>
      <protection hidden="1"/>
    </xf>
    <xf numFmtId="0" fontId="4" fillId="4" borderId="8" xfId="0" applyFont="1" applyFill="1" applyBorder="1" applyAlignment="1" applyProtection="1">
      <alignment horizontal="center" vertical="center" wrapText="1"/>
      <protection locked="0"/>
    </xf>
    <xf numFmtId="164" fontId="4" fillId="4" borderId="8" xfId="0" applyNumberFormat="1" applyFont="1" applyFill="1" applyBorder="1" applyAlignment="1" applyProtection="1">
      <alignment horizontal="center" vertical="center" wrapText="1"/>
      <protection locked="0"/>
    </xf>
    <xf numFmtId="9" fontId="4" fillId="4" borderId="8" xfId="6" applyFont="1" applyFill="1" applyBorder="1" applyAlignment="1" applyProtection="1">
      <alignment horizontal="center" vertical="center" wrapText="1"/>
      <protection locked="0"/>
    </xf>
    <xf numFmtId="0" fontId="12"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37" fillId="2" borderId="0" xfId="0" applyFont="1" applyFill="1" applyAlignment="1" applyProtection="1">
      <alignment vertical="center"/>
      <protection hidden="1"/>
    </xf>
    <xf numFmtId="0" fontId="4" fillId="3" borderId="0" xfId="0" applyFont="1" applyFill="1" applyProtection="1">
      <protection hidden="1"/>
    </xf>
    <xf numFmtId="0" fontId="21" fillId="2" borderId="0" xfId="0" applyFont="1" applyFill="1" applyAlignment="1" applyProtection="1">
      <alignment horizontal="left" vertical="center"/>
      <protection hidden="1"/>
    </xf>
    <xf numFmtId="43" fontId="12" fillId="2" borderId="0" xfId="1" applyFont="1" applyFill="1" applyBorder="1" applyAlignment="1" applyProtection="1">
      <alignment horizontal="center" vertical="center" wrapText="1"/>
      <protection hidden="1"/>
    </xf>
    <xf numFmtId="0" fontId="34" fillId="5" borderId="0" xfId="0" applyFont="1" applyFill="1" applyAlignment="1" applyProtection="1">
      <alignment vertical="center"/>
      <protection hidden="1"/>
    </xf>
    <xf numFmtId="0" fontId="4" fillId="5" borderId="0" xfId="0" applyFont="1" applyFill="1" applyAlignment="1" applyProtection="1">
      <alignment horizontal="center" vertical="center" wrapText="1"/>
      <protection hidden="1"/>
    </xf>
    <xf numFmtId="0" fontId="23" fillId="5" borderId="0" xfId="0" applyFont="1" applyFill="1" applyAlignment="1" applyProtection="1">
      <alignment horizontal="right" vertical="center"/>
      <protection hidden="1"/>
    </xf>
    <xf numFmtId="49" fontId="4" fillId="5" borderId="0" xfId="0" applyNumberFormat="1" applyFont="1" applyFill="1" applyAlignment="1" applyProtection="1">
      <alignment vertical="center"/>
      <protection hidden="1"/>
    </xf>
    <xf numFmtId="0" fontId="4" fillId="5" borderId="4" xfId="0" applyFont="1" applyFill="1" applyBorder="1" applyProtection="1">
      <protection hidden="1"/>
    </xf>
    <xf numFmtId="0" fontId="4" fillId="5" borderId="4" xfId="0" applyFont="1" applyFill="1" applyBorder="1" applyAlignment="1" applyProtection="1">
      <alignment horizontal="left" vertical="center"/>
      <protection hidden="1"/>
    </xf>
    <xf numFmtId="0" fontId="4" fillId="5" borderId="4" xfId="0" applyFont="1" applyFill="1" applyBorder="1" applyAlignment="1" applyProtection="1">
      <alignment vertical="center"/>
      <protection hidden="1"/>
    </xf>
    <xf numFmtId="0" fontId="34" fillId="5" borderId="4" xfId="0" applyFont="1" applyFill="1" applyBorder="1" applyAlignment="1" applyProtection="1">
      <alignment vertical="center"/>
      <protection hidden="1"/>
    </xf>
    <xf numFmtId="43" fontId="4" fillId="5" borderId="4" xfId="1" applyFont="1" applyFill="1" applyBorder="1" applyAlignment="1" applyProtection="1">
      <alignment horizontal="center" vertical="center" wrapText="1"/>
      <protection hidden="1"/>
    </xf>
    <xf numFmtId="0" fontId="4" fillId="5" borderId="0" xfId="0" applyFont="1" applyFill="1" applyAlignment="1" applyProtection="1">
      <alignment horizontal="left" vertical="center"/>
      <protection hidden="1"/>
    </xf>
    <xf numFmtId="43" fontId="4" fillId="5" borderId="0" xfId="1" applyFont="1" applyFill="1" applyBorder="1" applyAlignment="1" applyProtection="1">
      <alignment horizontal="center" vertical="center" wrapText="1"/>
      <protection hidden="1"/>
    </xf>
    <xf numFmtId="43" fontId="4" fillId="5" borderId="0" xfId="1" applyFont="1" applyFill="1" applyAlignment="1" applyProtection="1">
      <alignment horizontal="center" vertical="center" wrapText="1"/>
      <protection hidden="1"/>
    </xf>
    <xf numFmtId="0" fontId="4" fillId="5" borderId="5" xfId="0" applyFont="1" applyFill="1" applyBorder="1" applyProtection="1">
      <protection hidden="1"/>
    </xf>
    <xf numFmtId="0" fontId="25" fillId="5" borderId="5" xfId="0" applyFont="1" applyFill="1" applyBorder="1" applyAlignment="1" applyProtection="1">
      <alignment horizontal="left" vertical="center"/>
      <protection hidden="1"/>
    </xf>
    <xf numFmtId="0" fontId="13" fillId="5" borderId="5" xfId="0" applyFont="1" applyFill="1" applyBorder="1" applyAlignment="1" applyProtection="1">
      <alignment vertical="center"/>
      <protection hidden="1"/>
    </xf>
    <xf numFmtId="0" fontId="4" fillId="5" borderId="5" xfId="0" applyFont="1" applyFill="1" applyBorder="1" applyAlignment="1" applyProtection="1">
      <alignment vertical="center"/>
      <protection hidden="1"/>
    </xf>
    <xf numFmtId="0" fontId="34" fillId="5" borderId="5" xfId="0" applyFont="1" applyFill="1" applyBorder="1" applyAlignment="1" applyProtection="1">
      <alignment vertical="center"/>
      <protection hidden="1"/>
    </xf>
    <xf numFmtId="43" fontId="4" fillId="5" borderId="5" xfId="1" applyFont="1" applyFill="1" applyBorder="1" applyAlignment="1" applyProtection="1">
      <alignment horizontal="center" vertical="center" wrapText="1"/>
      <protection hidden="1"/>
    </xf>
    <xf numFmtId="0" fontId="34" fillId="5" borderId="0" xfId="0" applyFont="1" applyFill="1" applyAlignment="1" applyProtection="1">
      <alignment horizontal="left" vertical="center"/>
      <protection hidden="1"/>
    </xf>
    <xf numFmtId="0" fontId="4" fillId="5" borderId="0" xfId="0" applyFont="1" applyFill="1" applyAlignment="1" applyProtection="1">
      <alignment vertical="center" wrapText="1"/>
      <protection hidden="1"/>
    </xf>
    <xf numFmtId="0" fontId="34" fillId="5" borderId="0" xfId="0" applyFont="1" applyFill="1" applyAlignment="1" applyProtection="1">
      <alignment vertical="center" wrapText="1"/>
      <protection hidden="1"/>
    </xf>
    <xf numFmtId="0" fontId="24" fillId="5" borderId="0" xfId="0" applyFont="1" applyFill="1" applyAlignment="1" applyProtection="1">
      <alignment vertical="center"/>
      <protection hidden="1"/>
    </xf>
    <xf numFmtId="0" fontId="38" fillId="5" borderId="0" xfId="0" applyFont="1" applyFill="1" applyAlignment="1" applyProtection="1">
      <alignment vertical="center"/>
      <protection hidden="1"/>
    </xf>
    <xf numFmtId="0" fontId="32" fillId="5" borderId="0" xfId="0" applyFont="1" applyFill="1" applyProtection="1">
      <protection hidden="1"/>
    </xf>
    <xf numFmtId="0" fontId="38" fillId="5" borderId="0" xfId="0" applyFont="1" applyFill="1" applyAlignment="1" applyProtection="1">
      <alignment vertical="center" wrapText="1"/>
      <protection hidden="1"/>
    </xf>
    <xf numFmtId="0" fontId="34" fillId="5" borderId="0" xfId="0" applyFont="1" applyFill="1" applyProtection="1">
      <protection hidden="1"/>
    </xf>
    <xf numFmtId="0" fontId="30" fillId="5" borderId="0" xfId="0" applyFont="1" applyFill="1" applyAlignment="1" applyProtection="1">
      <alignment horizontal="left" vertical="center"/>
      <protection hidden="1"/>
    </xf>
    <xf numFmtId="0" fontId="4" fillId="5" borderId="0" xfId="0" applyFont="1" applyFill="1" applyAlignment="1" applyProtection="1">
      <alignment wrapText="1"/>
      <protection hidden="1"/>
    </xf>
    <xf numFmtId="0" fontId="30" fillId="5" borderId="0" xfId="0" applyFont="1" applyFill="1" applyAlignment="1" applyProtection="1">
      <alignment vertical="center"/>
      <protection hidden="1"/>
    </xf>
    <xf numFmtId="0" fontId="4" fillId="5" borderId="0" xfId="0" applyFont="1" applyFill="1" applyAlignment="1" applyProtection="1">
      <alignment horizontal="left" vertical="center" wrapText="1"/>
      <protection hidden="1"/>
    </xf>
    <xf numFmtId="0" fontId="34" fillId="5" borderId="0" xfId="0" applyFont="1" applyFill="1" applyAlignment="1" applyProtection="1">
      <alignment horizontal="left" vertical="center" wrapText="1"/>
      <protection hidden="1"/>
    </xf>
    <xf numFmtId="0" fontId="35" fillId="5" borderId="0" xfId="0" applyFont="1" applyFill="1" applyAlignment="1" applyProtection="1">
      <alignment vertical="center"/>
      <protection hidden="1"/>
    </xf>
    <xf numFmtId="0" fontId="36" fillId="5" borderId="0" xfId="0" applyFont="1" applyFill="1" applyAlignment="1" applyProtection="1">
      <alignment vertical="center"/>
      <protection hidden="1"/>
    </xf>
    <xf numFmtId="0" fontId="4" fillId="2" borderId="6" xfId="0" applyFont="1" applyFill="1" applyBorder="1" applyAlignment="1" applyProtection="1">
      <alignment horizontal="left"/>
      <protection hidden="1"/>
    </xf>
    <xf numFmtId="43" fontId="4" fillId="2" borderId="6" xfId="1" applyFont="1" applyFill="1" applyBorder="1" applyAlignment="1" applyProtection="1">
      <alignment horizontal="center"/>
      <protection hidden="1"/>
    </xf>
    <xf numFmtId="43" fontId="4" fillId="2" borderId="0" xfId="1" applyFont="1" applyFill="1" applyAlignment="1" applyProtection="1">
      <alignment horizontal="center" vertical="center" wrapText="1"/>
      <protection hidden="1"/>
    </xf>
    <xf numFmtId="0" fontId="4" fillId="4" borderId="8" xfId="6" applyNumberFormat="1" applyFont="1" applyFill="1" applyBorder="1" applyAlignment="1" applyProtection="1">
      <alignment horizontal="center" vertical="center" wrapText="1"/>
      <protection locked="0"/>
    </xf>
    <xf numFmtId="0" fontId="25" fillId="5" borderId="0" xfId="0" applyFont="1" applyFill="1" applyAlignment="1" applyProtection="1">
      <alignment horizontal="left" vertical="center"/>
      <protection hidden="1"/>
    </xf>
    <xf numFmtId="0" fontId="13" fillId="5" borderId="0" xfId="0" applyFont="1" applyFill="1" applyAlignment="1" applyProtection="1">
      <alignment vertical="center"/>
      <protection hidden="1"/>
    </xf>
    <xf numFmtId="164" fontId="4" fillId="4" borderId="13" xfId="0" applyNumberFormat="1" applyFont="1" applyFill="1" applyBorder="1" applyAlignment="1" applyProtection="1">
      <alignment horizontal="center" vertical="center" wrapText="1"/>
      <protection locked="0"/>
    </xf>
    <xf numFmtId="164" fontId="42" fillId="5" borderId="8" xfId="0" applyNumberFormat="1" applyFont="1" applyFill="1" applyBorder="1" applyAlignment="1" applyProtection="1">
      <alignment horizontal="center" vertical="center" wrapText="1"/>
      <protection hidden="1"/>
    </xf>
    <xf numFmtId="164" fontId="42" fillId="5" borderId="8" xfId="0" applyNumberFormat="1" applyFont="1" applyFill="1" applyBorder="1" applyAlignment="1" applyProtection="1">
      <alignment vertical="center" wrapText="1"/>
      <protection hidden="1"/>
    </xf>
    <xf numFmtId="1" fontId="4" fillId="4" borderId="8" xfId="0" applyNumberFormat="1"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protection hidden="1"/>
    </xf>
    <xf numFmtId="0" fontId="24" fillId="5" borderId="0" xfId="0" applyFont="1" applyFill="1" applyAlignment="1" applyProtection="1">
      <alignment vertical="center" wrapText="1"/>
      <protection hidden="1"/>
    </xf>
    <xf numFmtId="0" fontId="29" fillId="5" borderId="0" xfId="0" applyFont="1" applyFill="1" applyAlignment="1" applyProtection="1">
      <alignment horizontal="right"/>
      <protection hidden="1"/>
    </xf>
    <xf numFmtId="0" fontId="4" fillId="5" borderId="0" xfId="0" applyFont="1" applyFill="1" applyAlignment="1" applyProtection="1">
      <alignment horizontal="left"/>
      <protection hidden="1"/>
    </xf>
    <xf numFmtId="43" fontId="4" fillId="5" borderId="0" xfId="1" applyFont="1" applyFill="1" applyAlignment="1" applyProtection="1">
      <alignment vertical="center"/>
      <protection hidden="1"/>
    </xf>
    <xf numFmtId="43" fontId="4" fillId="5" borderId="0" xfId="1" applyFont="1" applyFill="1" applyProtection="1">
      <protection hidden="1"/>
    </xf>
    <xf numFmtId="43" fontId="4" fillId="5" borderId="0" xfId="1" applyFont="1" applyFill="1" applyAlignment="1" applyProtection="1">
      <alignment horizontal="center" wrapText="1"/>
      <protection hidden="1"/>
    </xf>
    <xf numFmtId="0" fontId="4" fillId="9" borderId="0" xfId="0" applyFont="1" applyFill="1" applyProtection="1">
      <protection hidden="1"/>
    </xf>
    <xf numFmtId="0" fontId="4" fillId="9" borderId="0" xfId="0" applyFont="1" applyFill="1" applyAlignment="1" applyProtection="1">
      <alignment horizontal="left"/>
      <protection hidden="1"/>
    </xf>
    <xf numFmtId="0" fontId="4" fillId="9" borderId="0" xfId="0" applyFont="1" applyFill="1" applyAlignment="1" applyProtection="1">
      <alignment vertical="center"/>
      <protection hidden="1"/>
    </xf>
    <xf numFmtId="43" fontId="4" fillId="9" borderId="0" xfId="1" applyFont="1" applyFill="1" applyAlignment="1" applyProtection="1">
      <alignment horizontal="center" wrapText="1"/>
      <protection hidden="1"/>
    </xf>
    <xf numFmtId="0" fontId="48" fillId="5" borderId="5" xfId="0" applyFont="1" applyFill="1" applyBorder="1" applyAlignment="1" applyProtection="1">
      <alignment vertical="center"/>
      <protection hidden="1"/>
    </xf>
    <xf numFmtId="0" fontId="4" fillId="5" borderId="2" xfId="0" applyFont="1" applyFill="1" applyBorder="1" applyAlignment="1" applyProtection="1">
      <alignment horizontal="center" vertical="center" wrapText="1"/>
      <protection hidden="1"/>
    </xf>
    <xf numFmtId="1" fontId="42" fillId="5" borderId="8" xfId="0" applyNumberFormat="1" applyFont="1" applyFill="1" applyBorder="1" applyAlignment="1" applyProtection="1">
      <alignment horizontal="center" vertical="center" wrapText="1"/>
      <protection hidden="1"/>
    </xf>
    <xf numFmtId="0" fontId="45" fillId="5" borderId="0" xfId="0" applyFont="1" applyFill="1" applyProtection="1">
      <protection hidden="1"/>
    </xf>
    <xf numFmtId="0" fontId="45" fillId="5" borderId="0" xfId="0" applyFont="1" applyFill="1" applyAlignment="1" applyProtection="1">
      <alignment horizontal="center" vertical="center" wrapText="1"/>
      <protection hidden="1"/>
    </xf>
    <xf numFmtId="0" fontId="24" fillId="5" borderId="0" xfId="0" applyFont="1" applyFill="1" applyAlignment="1" applyProtection="1">
      <alignment horizontal="left" vertical="center"/>
      <protection hidden="1"/>
    </xf>
    <xf numFmtId="0" fontId="24" fillId="5" borderId="0" xfId="0" applyFont="1" applyFill="1" applyAlignment="1" applyProtection="1">
      <alignment horizontal="left" vertical="center" wrapText="1"/>
      <protection hidden="1"/>
    </xf>
    <xf numFmtId="0" fontId="43" fillId="5" borderId="0" xfId="0" applyFont="1" applyFill="1" applyAlignment="1" applyProtection="1">
      <alignment wrapText="1"/>
      <protection hidden="1"/>
    </xf>
    <xf numFmtId="0" fontId="45" fillId="5" borderId="0" xfId="0" applyFont="1" applyFill="1" applyAlignment="1" applyProtection="1">
      <alignment vertical="center"/>
      <protection hidden="1"/>
    </xf>
    <xf numFmtId="0" fontId="46" fillId="5" borderId="0" xfId="0" applyFont="1" applyFill="1" applyAlignment="1" applyProtection="1">
      <alignment vertical="center" wrapText="1"/>
      <protection hidden="1"/>
    </xf>
    <xf numFmtId="0" fontId="43" fillId="5" borderId="0" xfId="0" applyFont="1" applyFill="1" applyAlignment="1" applyProtection="1">
      <alignment vertical="center" wrapText="1"/>
      <protection hidden="1"/>
    </xf>
    <xf numFmtId="0" fontId="44" fillId="5" borderId="0" xfId="0" applyFont="1" applyFill="1" applyAlignment="1" applyProtection="1">
      <alignment vertical="center"/>
      <protection hidden="1"/>
    </xf>
    <xf numFmtId="0" fontId="47" fillId="5" borderId="8" xfId="0" applyFont="1" applyFill="1" applyBorder="1" applyAlignment="1" applyProtection="1">
      <alignment horizontal="left" vertical="center" wrapText="1"/>
      <protection hidden="1"/>
    </xf>
    <xf numFmtId="0" fontId="47" fillId="5" borderId="8" xfId="0" applyFont="1" applyFill="1" applyBorder="1" applyAlignment="1" applyProtection="1">
      <alignment vertical="center" wrapText="1"/>
      <protection hidden="1"/>
    </xf>
    <xf numFmtId="0" fontId="28" fillId="5" borderId="14" xfId="0" applyFont="1" applyFill="1" applyBorder="1" applyAlignment="1" applyProtection="1">
      <alignment horizontal="left" vertical="center" wrapText="1"/>
      <protection hidden="1"/>
    </xf>
    <xf numFmtId="0" fontId="28" fillId="5" borderId="0" xfId="0" applyFont="1" applyFill="1" applyAlignment="1" applyProtection="1">
      <alignment vertical="center"/>
      <protection hidden="1"/>
    </xf>
    <xf numFmtId="0" fontId="28" fillId="5" borderId="0" xfId="0" applyFont="1" applyFill="1" applyAlignment="1" applyProtection="1">
      <alignment horizontal="left" vertical="center" wrapText="1"/>
      <protection hidden="1"/>
    </xf>
    <xf numFmtId="0" fontId="28" fillId="5" borderId="12" xfId="0" applyFont="1" applyFill="1" applyBorder="1" applyAlignment="1" applyProtection="1">
      <alignment horizontal="left" vertical="center" wrapText="1"/>
      <protection hidden="1"/>
    </xf>
    <xf numFmtId="1" fontId="42" fillId="5" borderId="8" xfId="0" applyNumberFormat="1" applyFont="1" applyFill="1" applyBorder="1" applyAlignment="1" applyProtection="1">
      <alignment horizontal="center" vertical="center"/>
      <protection hidden="1"/>
    </xf>
    <xf numFmtId="1" fontId="4" fillId="4" borderId="13" xfId="0" applyNumberFormat="1" applyFont="1" applyFill="1" applyBorder="1" applyAlignment="1" applyProtection="1">
      <alignment horizontal="center" vertical="center" wrapText="1"/>
      <protection locked="0"/>
    </xf>
    <xf numFmtId="1" fontId="28" fillId="4" borderId="8" xfId="0" applyNumberFormat="1" applyFont="1" applyFill="1" applyBorder="1" applyAlignment="1" applyProtection="1">
      <alignment horizontal="center" vertical="center" wrapText="1"/>
      <protection locked="0"/>
    </xf>
    <xf numFmtId="43" fontId="4" fillId="2" borderId="0" xfId="1" applyFont="1" applyFill="1" applyBorder="1" applyAlignment="1" applyProtection="1">
      <alignment horizontal="center" vertical="center" wrapText="1"/>
      <protection hidden="1"/>
    </xf>
    <xf numFmtId="0" fontId="4" fillId="5" borderId="7" xfId="0" applyFont="1" applyFill="1" applyBorder="1" applyProtection="1">
      <protection hidden="1"/>
    </xf>
    <xf numFmtId="0" fontId="44" fillId="5" borderId="11" xfId="0" applyFont="1" applyFill="1" applyBorder="1" applyAlignment="1" applyProtection="1">
      <alignment vertical="center"/>
      <protection hidden="1"/>
    </xf>
    <xf numFmtId="0" fontId="47" fillId="5" borderId="10" xfId="0" applyFont="1" applyFill="1" applyBorder="1" applyAlignment="1" applyProtection="1">
      <alignment vertical="center" wrapText="1"/>
      <protection hidden="1"/>
    </xf>
    <xf numFmtId="0" fontId="47" fillId="5" borderId="12" xfId="0" applyFont="1" applyFill="1" applyBorder="1" applyAlignment="1" applyProtection="1">
      <alignment horizontal="left" vertical="center" wrapText="1"/>
      <protection hidden="1"/>
    </xf>
    <xf numFmtId="0" fontId="44" fillId="5" borderId="15" xfId="0" applyFont="1" applyFill="1" applyBorder="1" applyAlignment="1" applyProtection="1">
      <alignment vertical="center"/>
      <protection hidden="1"/>
    </xf>
    <xf numFmtId="43" fontId="43" fillId="5" borderId="0" xfId="1" applyFont="1" applyFill="1" applyAlignment="1" applyProtection="1">
      <alignment vertical="center" wrapText="1"/>
      <protection hidden="1"/>
    </xf>
    <xf numFmtId="0" fontId="39" fillId="5" borderId="0" xfId="0" applyFont="1" applyFill="1" applyAlignment="1" applyProtection="1">
      <alignment vertical="center"/>
      <protection hidden="1"/>
    </xf>
    <xf numFmtId="0" fontId="30" fillId="5" borderId="0" xfId="0" applyFont="1" applyFill="1" applyAlignment="1" applyProtection="1">
      <alignment vertical="center" wrapText="1"/>
      <protection hidden="1"/>
    </xf>
    <xf numFmtId="0" fontId="42" fillId="5" borderId="0" xfId="0" applyFont="1" applyFill="1" applyAlignment="1" applyProtection="1">
      <alignment vertical="center"/>
      <protection hidden="1"/>
    </xf>
    <xf numFmtId="0" fontId="4" fillId="0" borderId="0" xfId="0" applyFont="1" applyAlignment="1" applyProtection="1">
      <alignment wrapText="1"/>
      <protection hidden="1"/>
    </xf>
    <xf numFmtId="0" fontId="34" fillId="5" borderId="0" xfId="0" applyFont="1" applyFill="1" applyAlignment="1" applyProtection="1">
      <alignment wrapText="1"/>
      <protection hidden="1"/>
    </xf>
    <xf numFmtId="0" fontId="47" fillId="5" borderId="0" xfId="0" applyFont="1" applyFill="1" applyAlignment="1" applyProtection="1">
      <alignment horizontal="left" vertical="center" wrapText="1"/>
      <protection hidden="1"/>
    </xf>
    <xf numFmtId="0" fontId="47" fillId="5" borderId="0" xfId="0" applyFont="1" applyFill="1" applyAlignment="1" applyProtection="1">
      <alignment vertical="center" wrapText="1"/>
      <protection hidden="1"/>
    </xf>
    <xf numFmtId="0" fontId="29" fillId="5" borderId="0" xfId="0" applyFont="1" applyFill="1" applyAlignment="1" applyProtection="1">
      <alignment vertical="center"/>
      <protection hidden="1"/>
    </xf>
    <xf numFmtId="0" fontId="4" fillId="9" borderId="0" xfId="0" applyFont="1" applyFill="1" applyAlignment="1" applyProtection="1">
      <alignment wrapText="1"/>
      <protection hidden="1"/>
    </xf>
    <xf numFmtId="1" fontId="28" fillId="4" borderId="10" xfId="0" applyNumberFormat="1" applyFont="1" applyFill="1" applyBorder="1" applyAlignment="1" applyProtection="1">
      <alignment horizontal="center" vertical="center" wrapText="1"/>
      <protection locked="0"/>
    </xf>
    <xf numFmtId="164" fontId="28" fillId="4" borderId="8" xfId="0" applyNumberFormat="1" applyFont="1" applyFill="1" applyBorder="1" applyAlignment="1" applyProtection="1">
      <alignment horizontal="center" vertical="center" wrapText="1"/>
      <protection locked="0"/>
    </xf>
    <xf numFmtId="164" fontId="28" fillId="4" borderId="10" xfId="0" applyNumberFormat="1" applyFont="1" applyFill="1" applyBorder="1" applyAlignment="1" applyProtection="1">
      <alignment horizontal="center" vertical="center" wrapText="1"/>
      <protection locked="0"/>
    </xf>
    <xf numFmtId="9" fontId="42" fillId="5" borderId="8" xfId="6" applyFont="1" applyFill="1" applyBorder="1" applyAlignment="1" applyProtection="1">
      <alignment horizontal="center" vertical="center" wrapText="1"/>
      <protection hidden="1"/>
    </xf>
    <xf numFmtId="0" fontId="4" fillId="5" borderId="0" xfId="0" applyFont="1" applyFill="1" applyAlignment="1" applyProtection="1">
      <alignment horizontal="left" wrapText="1"/>
      <protection hidden="1"/>
    </xf>
    <xf numFmtId="0" fontId="24" fillId="5" borderId="0" xfId="0" applyFont="1" applyFill="1" applyAlignment="1" applyProtection="1">
      <alignment horizontal="right" vertical="center"/>
      <protection hidden="1"/>
    </xf>
    <xf numFmtId="0" fontId="4" fillId="3" borderId="0" xfId="0" applyFont="1" applyFill="1" applyAlignment="1" applyProtection="1">
      <alignment wrapText="1"/>
      <protection hidden="1"/>
    </xf>
    <xf numFmtId="0" fontId="51" fillId="5" borderId="0" xfId="0" applyFont="1" applyFill="1" applyAlignment="1" applyProtection="1">
      <alignment horizontal="center" vertical="center" wrapText="1"/>
      <protection hidden="1"/>
    </xf>
    <xf numFmtId="0" fontId="31" fillId="5" borderId="0" xfId="0" applyFont="1" applyFill="1" applyAlignment="1" applyProtection="1">
      <alignment horizontal="center" vertical="center" wrapText="1"/>
      <protection hidden="1"/>
    </xf>
    <xf numFmtId="0" fontId="4" fillId="5" borderId="7" xfId="0" applyFont="1" applyFill="1" applyBorder="1" applyAlignment="1" applyProtection="1">
      <alignment horizontal="center" vertical="center" wrapText="1"/>
      <protection hidden="1"/>
    </xf>
    <xf numFmtId="0" fontId="28" fillId="5" borderId="0" xfId="0" applyFont="1" applyFill="1" applyAlignment="1" applyProtection="1">
      <alignment horizontal="left" vertical="center"/>
      <protection hidden="1"/>
    </xf>
    <xf numFmtId="0" fontId="28" fillId="5" borderId="0" xfId="0" applyFont="1" applyFill="1" applyAlignment="1" applyProtection="1">
      <alignment horizontal="center" vertical="center" wrapText="1"/>
      <protection hidden="1"/>
    </xf>
    <xf numFmtId="0" fontId="32" fillId="5" borderId="0" xfId="0" applyFont="1" applyFill="1" applyAlignment="1" applyProtection="1">
      <alignment horizontal="right"/>
      <protection hidden="1"/>
    </xf>
    <xf numFmtId="2" fontId="4" fillId="4" borderId="8" xfId="0" applyNumberFormat="1"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6" fillId="5" borderId="0" xfId="0" applyFont="1" applyFill="1" applyAlignment="1" applyProtection="1">
      <alignment horizontal="center"/>
      <protection hidden="1"/>
    </xf>
    <xf numFmtId="0" fontId="4" fillId="5" borderId="0" xfId="0" applyFont="1" applyFill="1" applyAlignment="1" applyProtection="1">
      <alignment horizontal="center"/>
      <protection hidden="1"/>
    </xf>
    <xf numFmtId="0" fontId="6" fillId="5" borderId="0" xfId="0" applyFont="1" applyFill="1" applyAlignment="1" applyProtection="1">
      <alignment horizontal="center" vertical="center"/>
      <protection hidden="1"/>
    </xf>
    <xf numFmtId="0" fontId="6" fillId="5" borderId="0" xfId="0" applyFont="1" applyFill="1" applyAlignment="1" applyProtection="1">
      <alignment horizontal="left"/>
      <protection hidden="1"/>
    </xf>
    <xf numFmtId="0" fontId="6" fillId="5" borderId="0" xfId="0" applyFont="1" applyFill="1" applyAlignment="1" applyProtection="1">
      <alignment horizontal="left" vertical="center"/>
      <protection hidden="1"/>
    </xf>
    <xf numFmtId="0" fontId="40" fillId="5" borderId="0" xfId="0" applyFont="1" applyFill="1" applyAlignment="1" applyProtection="1">
      <alignment horizontal="center" vertical="center"/>
      <protection hidden="1"/>
    </xf>
    <xf numFmtId="0" fontId="40" fillId="5" borderId="0" xfId="0" applyFont="1" applyFill="1" applyAlignment="1" applyProtection="1">
      <alignment horizontal="left"/>
      <protection hidden="1"/>
    </xf>
    <xf numFmtId="0" fontId="49" fillId="5" borderId="0" xfId="0" applyFont="1" applyFill="1" applyAlignment="1" applyProtection="1">
      <alignment horizontal="left" vertical="center"/>
      <protection hidden="1"/>
    </xf>
    <xf numFmtId="0" fontId="11" fillId="2" borderId="0" xfId="0" applyFont="1" applyFill="1" applyProtection="1">
      <protection hidden="1"/>
    </xf>
    <xf numFmtId="0" fontId="9" fillId="2" borderId="0" xfId="0" applyFont="1" applyFill="1" applyAlignment="1" applyProtection="1">
      <alignment horizontal="right"/>
      <protection hidden="1"/>
    </xf>
    <xf numFmtId="0" fontId="10" fillId="5" borderId="0" xfId="0" applyFont="1" applyFill="1" applyAlignment="1" applyProtection="1">
      <alignment horizontal="center" vertical="center" wrapText="1"/>
      <protection hidden="1"/>
    </xf>
    <xf numFmtId="0" fontId="12" fillId="5" borderId="0" xfId="0" applyFont="1" applyFill="1" applyProtection="1">
      <protection hidden="1"/>
    </xf>
    <xf numFmtId="0" fontId="16" fillId="7" borderId="0" xfId="0" applyFont="1" applyFill="1" applyProtection="1">
      <protection hidden="1"/>
    </xf>
    <xf numFmtId="0" fontId="17" fillId="8" borderId="0" xfId="0" applyFont="1" applyFill="1" applyProtection="1">
      <protection hidden="1"/>
    </xf>
    <xf numFmtId="0" fontId="18" fillId="6" borderId="0" xfId="0" applyFont="1" applyFill="1" applyProtection="1">
      <protection hidden="1"/>
    </xf>
    <xf numFmtId="0" fontId="13" fillId="5" borderId="1" xfId="0" applyFont="1" applyFill="1" applyBorder="1" applyProtection="1">
      <protection hidden="1"/>
    </xf>
    <xf numFmtId="0" fontId="14" fillId="5" borderId="2" xfId="0" applyFont="1" applyFill="1" applyBorder="1" applyAlignment="1" applyProtection="1">
      <alignment horizontal="left" vertical="center" indent="1"/>
      <protection hidden="1"/>
    </xf>
    <xf numFmtId="0" fontId="53" fillId="5" borderId="0" xfId="8" applyFont="1" applyFill="1" applyAlignment="1" applyProtection="1">
      <alignment horizontal="left"/>
      <protection hidden="1"/>
    </xf>
    <xf numFmtId="0" fontId="4" fillId="2" borderId="0" xfId="0" applyFont="1" applyFill="1" applyProtection="1">
      <protection hidden="1"/>
    </xf>
    <xf numFmtId="0" fontId="4" fillId="5" borderId="1" xfId="0" applyFont="1" applyFill="1" applyBorder="1" applyProtection="1">
      <protection hidden="1"/>
    </xf>
    <xf numFmtId="0" fontId="4" fillId="5" borderId="2" xfId="0" applyFont="1" applyFill="1" applyBorder="1" applyAlignment="1" applyProtection="1">
      <alignment horizontal="center"/>
      <protection hidden="1"/>
    </xf>
    <xf numFmtId="0" fontId="4" fillId="5" borderId="2" xfId="0" applyFont="1" applyFill="1" applyBorder="1" applyProtection="1">
      <protection hidden="1"/>
    </xf>
    <xf numFmtId="0" fontId="4" fillId="0" borderId="0" xfId="0" applyFont="1" applyAlignment="1" applyProtection="1">
      <alignment vertical="center"/>
      <protection hidden="1"/>
    </xf>
    <xf numFmtId="0" fontId="4" fillId="3" borderId="0" xfId="0" applyFont="1" applyFill="1" applyAlignment="1" applyProtection="1">
      <alignment vertical="center"/>
      <protection hidden="1"/>
    </xf>
    <xf numFmtId="0" fontId="0" fillId="0" borderId="0" xfId="0" applyProtection="1">
      <protection hidden="1"/>
    </xf>
    <xf numFmtId="0" fontId="28" fillId="0" borderId="0" xfId="0" applyFont="1" applyProtection="1">
      <protection hidden="1"/>
    </xf>
    <xf numFmtId="0" fontId="10" fillId="5" borderId="0" xfId="0" applyFont="1" applyFill="1" applyAlignment="1" applyProtection="1">
      <alignment horizontal="center"/>
      <protection hidden="1"/>
    </xf>
    <xf numFmtId="0" fontId="33" fillId="5" borderId="0" xfId="8" applyFill="1" applyProtection="1">
      <protection hidden="1"/>
    </xf>
    <xf numFmtId="0" fontId="4" fillId="10" borderId="0" xfId="0" applyFont="1" applyFill="1" applyProtection="1">
      <protection hidden="1"/>
    </xf>
    <xf numFmtId="0" fontId="0" fillId="10" borderId="0" xfId="0" applyFill="1"/>
    <xf numFmtId="0" fontId="0" fillId="5" borderId="0" xfId="0" applyFill="1"/>
    <xf numFmtId="0" fontId="55" fillId="5" borderId="0" xfId="8" applyFont="1" applyFill="1" applyAlignment="1" applyProtection="1">
      <alignment horizontal="left"/>
      <protection hidden="1"/>
    </xf>
    <xf numFmtId="0" fontId="6" fillId="5" borderId="0" xfId="0" applyFont="1" applyFill="1" applyAlignment="1" applyProtection="1">
      <alignment horizontal="left" vertical="center" wrapText="1"/>
      <protection hidden="1"/>
    </xf>
    <xf numFmtId="0" fontId="32" fillId="5" borderId="0" xfId="0" applyFont="1" applyFill="1" applyAlignment="1" applyProtection="1">
      <alignment vertical="center"/>
      <protection hidden="1"/>
    </xf>
    <xf numFmtId="0" fontId="4" fillId="5" borderId="0" xfId="0" applyFont="1" applyFill="1" applyAlignment="1">
      <alignment vertical="center"/>
    </xf>
    <xf numFmtId="0" fontId="44" fillId="5" borderId="23" xfId="0" applyFont="1" applyFill="1" applyBorder="1" applyAlignment="1" applyProtection="1">
      <alignment vertical="center"/>
      <protection hidden="1"/>
    </xf>
    <xf numFmtId="0" fontId="28" fillId="5" borderId="22" xfId="0" applyFont="1" applyFill="1" applyBorder="1" applyAlignment="1" applyProtection="1">
      <alignment horizontal="left" vertical="center" wrapText="1"/>
      <protection hidden="1"/>
    </xf>
    <xf numFmtId="0" fontId="6" fillId="5" borderId="0" xfId="0" applyFont="1" applyFill="1" applyAlignment="1" applyProtection="1">
      <alignment horizontal="left" vertical="center" wrapText="1"/>
      <protection hidden="1"/>
    </xf>
    <xf numFmtId="0" fontId="4" fillId="5" borderId="8" xfId="0" applyFont="1" applyFill="1" applyBorder="1" applyAlignment="1" applyProtection="1">
      <alignment horizontal="center"/>
      <protection hidden="1"/>
    </xf>
    <xf numFmtId="0" fontId="5" fillId="2" borderId="0" xfId="2" applyFont="1" applyFill="1" applyAlignment="1" applyProtection="1">
      <alignment horizontal="center" vertical="center"/>
      <protection hidden="1"/>
    </xf>
    <xf numFmtId="0" fontId="8" fillId="2" borderId="0" xfId="2" applyFont="1" applyFill="1" applyAlignment="1" applyProtection="1">
      <alignment horizontal="center" vertical="center" wrapText="1"/>
      <protection hidden="1"/>
    </xf>
    <xf numFmtId="49" fontId="4" fillId="4" borderId="0" xfId="0" applyNumberFormat="1" applyFont="1" applyFill="1" applyAlignment="1" applyProtection="1">
      <alignment horizontal="center"/>
      <protection locked="0"/>
    </xf>
    <xf numFmtId="0" fontId="12" fillId="9" borderId="17" xfId="0" applyFont="1" applyFill="1" applyBorder="1" applyAlignment="1" applyProtection="1">
      <alignment horizontal="left" vertical="top" wrapText="1"/>
      <protection hidden="1"/>
    </xf>
    <xf numFmtId="0" fontId="12" fillId="9" borderId="16" xfId="0" applyFont="1" applyFill="1" applyBorder="1" applyAlignment="1" applyProtection="1">
      <alignment horizontal="left" vertical="top" wrapText="1"/>
      <protection hidden="1"/>
    </xf>
    <xf numFmtId="0" fontId="12" fillId="9" borderId="18" xfId="0" applyFont="1" applyFill="1" applyBorder="1" applyAlignment="1" applyProtection="1">
      <alignment horizontal="left" vertical="top" wrapText="1"/>
      <protection hidden="1"/>
    </xf>
    <xf numFmtId="0" fontId="12" fillId="9" borderId="19" xfId="0" applyFont="1" applyFill="1" applyBorder="1" applyAlignment="1" applyProtection="1">
      <alignment horizontal="left" vertical="center" wrapText="1"/>
      <protection hidden="1"/>
    </xf>
    <xf numFmtId="0" fontId="12" fillId="9" borderId="20" xfId="0" applyFont="1" applyFill="1" applyBorder="1" applyAlignment="1" applyProtection="1">
      <alignment horizontal="left" vertical="center" wrapText="1"/>
      <protection hidden="1"/>
    </xf>
    <xf numFmtId="0" fontId="12" fillId="9" borderId="21" xfId="0" applyFont="1" applyFill="1" applyBorder="1" applyAlignment="1" applyProtection="1">
      <alignment horizontal="left" vertical="center" wrapText="1"/>
      <protection hidden="1"/>
    </xf>
    <xf numFmtId="0" fontId="11" fillId="2" borderId="0" xfId="4" applyFont="1" applyFill="1" applyAlignment="1" applyProtection="1">
      <alignment horizontal="center" vertical="center"/>
      <protection hidden="1"/>
    </xf>
    <xf numFmtId="0" fontId="4" fillId="5" borderId="0" xfId="0" applyFont="1" applyFill="1" applyAlignment="1">
      <alignment horizontal="left" vertical="center" wrapText="1"/>
    </xf>
    <xf numFmtId="0" fontId="25" fillId="5" borderId="0" xfId="0" applyFont="1" applyFill="1" applyAlignment="1" applyProtection="1">
      <alignment horizontal="left" vertical="center"/>
      <protection hidden="1"/>
    </xf>
    <xf numFmtId="0" fontId="25" fillId="5" borderId="5" xfId="0" applyFont="1" applyFill="1" applyBorder="1" applyAlignment="1" applyProtection="1">
      <alignment horizontal="left" vertical="center"/>
      <protection hidden="1"/>
    </xf>
    <xf numFmtId="0" fontId="4" fillId="5" borderId="0" xfId="0" applyFont="1" applyFill="1" applyAlignment="1" applyProtection="1">
      <alignment horizontal="left" vertical="center" wrapText="1"/>
      <protection hidden="1"/>
    </xf>
    <xf numFmtId="0" fontId="29" fillId="5" borderId="0" xfId="0" applyFont="1" applyFill="1" applyAlignment="1" applyProtection="1">
      <alignment horizontal="right" vertical="center" wrapText="1"/>
      <protection hidden="1"/>
    </xf>
    <xf numFmtId="0" fontId="4" fillId="5" borderId="0" xfId="0" applyFont="1" applyFill="1" applyAlignment="1" applyProtection="1">
      <alignment vertical="center" wrapText="1"/>
      <protection hidden="1"/>
    </xf>
    <xf numFmtId="0" fontId="29" fillId="5" borderId="0" xfId="0" applyFont="1" applyFill="1" applyAlignment="1" applyProtection="1">
      <alignment horizontal="right" vertical="center"/>
      <protection hidden="1"/>
    </xf>
    <xf numFmtId="0" fontId="24" fillId="5" borderId="0" xfId="0" applyFont="1" applyFill="1" applyAlignment="1" applyProtection="1">
      <alignment vertical="center"/>
      <protection hidden="1"/>
    </xf>
    <xf numFmtId="0" fontId="24" fillId="5" borderId="0" xfId="0" applyFont="1" applyFill="1" applyAlignment="1" applyProtection="1">
      <alignment vertical="center" wrapText="1"/>
      <protection hidden="1"/>
    </xf>
    <xf numFmtId="0" fontId="39" fillId="0" borderId="0" xfId="0" applyFont="1" applyAlignment="1" applyProtection="1">
      <alignment vertical="center" wrapText="1"/>
      <protection hidden="1"/>
    </xf>
    <xf numFmtId="0" fontId="24" fillId="5" borderId="0" xfId="0" applyFont="1" applyFill="1" applyAlignment="1" applyProtection="1">
      <alignment horizontal="left" vertical="center" wrapText="1"/>
      <protection hidden="1"/>
    </xf>
    <xf numFmtId="0" fontId="46" fillId="5" borderId="0" xfId="0" applyFont="1" applyFill="1" applyAlignment="1" applyProtection="1">
      <alignment horizontal="center" vertical="center" wrapText="1"/>
      <protection hidden="1"/>
    </xf>
    <xf numFmtId="0" fontId="24" fillId="5" borderId="0" xfId="0" applyFont="1" applyFill="1" applyAlignment="1" applyProtection="1">
      <alignment horizontal="left" vertical="center"/>
      <protection hidden="1"/>
    </xf>
    <xf numFmtId="0" fontId="4" fillId="5" borderId="0" xfId="0" applyFont="1" applyFill="1" applyAlignment="1" applyProtection="1">
      <alignment wrapText="1"/>
      <protection hidden="1"/>
    </xf>
    <xf numFmtId="0" fontId="23" fillId="9" borderId="0" xfId="0" applyFont="1" applyFill="1" applyAlignment="1" applyProtection="1">
      <alignment vertical="center" wrapText="1"/>
      <protection hidden="1"/>
    </xf>
    <xf numFmtId="0" fontId="4" fillId="5" borderId="0" xfId="0" applyFont="1" applyFill="1" applyAlignment="1" applyProtection="1">
      <alignment horizontal="left" wrapText="1"/>
      <protection hidden="1"/>
    </xf>
    <xf numFmtId="0" fontId="4" fillId="5" borderId="0" xfId="0" applyFont="1" applyFill="1" applyAlignment="1" applyProtection="1">
      <alignment horizontal="left" vertical="center"/>
      <protection hidden="1"/>
    </xf>
    <xf numFmtId="0" fontId="29" fillId="5" borderId="0" xfId="0" applyFont="1" applyFill="1" applyAlignment="1" applyProtection="1">
      <alignment horizontal="right"/>
      <protection hidden="1"/>
    </xf>
    <xf numFmtId="0" fontId="4" fillId="0" borderId="0" xfId="0" applyFont="1" applyAlignment="1" applyProtection="1">
      <alignment horizontal="left" vertical="center" wrapText="1"/>
      <protection hidden="1"/>
    </xf>
    <xf numFmtId="0" fontId="52" fillId="0" borderId="0" xfId="0" applyFont="1" applyAlignment="1">
      <alignment wrapText="1"/>
    </xf>
    <xf numFmtId="0" fontId="39" fillId="0" borderId="0" xfId="0" applyFont="1" applyAlignment="1" applyProtection="1">
      <alignment horizontal="left" vertical="center" wrapText="1"/>
      <protection hidden="1"/>
    </xf>
    <xf numFmtId="0" fontId="23" fillId="10" borderId="0" xfId="0" applyFont="1" applyFill="1" applyAlignment="1" applyProtection="1">
      <alignment horizontal="center"/>
      <protection hidden="1"/>
    </xf>
  </cellXfs>
  <cellStyles count="9">
    <cellStyle name="Címsor 2" xfId="3" xr:uid="{543ABBF0-A552-4D4A-AE80-8028486ED288}"/>
    <cellStyle name="Comma" xfId="1" builtinId="3"/>
    <cellStyle name="Comma 2" xfId="7" xr:uid="{EA79BBCB-B9C2-458D-88CB-F0C501EA7996}"/>
    <cellStyle name="Hyperlink" xfId="8" builtinId="8"/>
    <cellStyle name="Normal" xfId="0" builtinId="0"/>
    <cellStyle name="Normal 2" xfId="2" xr:uid="{36BC5767-128F-4D9E-BC79-B5AB4B816AF5}"/>
    <cellStyle name="Normal 8" xfId="4" xr:uid="{EEE5664C-DC1A-4378-9E91-FC348096DC67}"/>
    <cellStyle name="Percent" xfId="6" builtinId="5"/>
    <cellStyle name="Wrap and Merge" xfId="5" xr:uid="{A32AF3F8-43AB-4109-B343-163F0CFE11B2}"/>
  </cellStyles>
  <dxfs count="283">
    <dxf>
      <font>
        <color rgb="FFFFC000"/>
      </font>
      <fill>
        <patternFill>
          <bgColor rgb="FFFFC000"/>
        </patternFill>
      </fill>
    </dxf>
    <dxf>
      <font>
        <color rgb="FFFF0000"/>
      </font>
      <fill>
        <patternFill>
          <bgColor rgb="FFFF0000"/>
        </patternFill>
      </fill>
    </dxf>
    <dxf>
      <font>
        <color rgb="FF92D050"/>
      </font>
      <fill>
        <patternFill>
          <bgColor rgb="FF92D05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92D050"/>
      </font>
      <fill>
        <patternFill>
          <bgColor rgb="FF92D050"/>
        </patternFill>
      </fill>
    </dxf>
    <dxf>
      <font>
        <color rgb="FFFF0000"/>
      </font>
      <fill>
        <patternFill>
          <bgColor rgb="FFFF0000"/>
        </patternFill>
      </fill>
    </dxf>
    <dxf>
      <font>
        <color rgb="FFFFC000"/>
      </font>
      <fill>
        <patternFill>
          <bgColor rgb="FFFFC000"/>
        </patternFill>
      </fill>
    </dxf>
    <dxf>
      <font>
        <u val="none"/>
        <color theme="0"/>
      </font>
      <fill>
        <patternFill>
          <bgColor theme="0"/>
        </patternFill>
      </fill>
      <border>
        <left/>
        <right/>
        <top/>
        <bottom/>
        <vertical/>
        <horizontal/>
      </border>
    </dxf>
    <dxf>
      <font>
        <color rgb="FFFFC000"/>
      </font>
      <fill>
        <patternFill>
          <bgColor rgb="FFFFC000"/>
        </patternFill>
      </fill>
    </dxf>
    <dxf>
      <font>
        <color rgb="FFFF0000"/>
      </font>
      <fill>
        <patternFill>
          <bgColor rgb="FFFF0000"/>
        </patternFill>
      </fill>
    </dxf>
    <dxf>
      <font>
        <color rgb="FF92D050"/>
      </font>
      <fill>
        <patternFill>
          <bgColor rgb="FF92D050"/>
        </patternFill>
      </fill>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92D050"/>
      </font>
      <fill>
        <patternFill>
          <bgColor rgb="FF92D050"/>
        </patternFill>
      </fill>
    </dxf>
    <dxf>
      <font>
        <color rgb="FFFF0000"/>
      </font>
      <fill>
        <patternFill>
          <bgColor rgb="FFFF0000"/>
        </patternFill>
      </fill>
    </dxf>
    <dxf>
      <font>
        <color rgb="FFFFC000"/>
      </font>
      <fill>
        <patternFill>
          <bgColor rgb="FFFFC000"/>
        </patternFill>
      </fill>
    </dxf>
    <dxf>
      <font>
        <u val="none"/>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u val="none"/>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FFC000"/>
      </font>
      <fill>
        <patternFill>
          <bgColor rgb="FFFFC000"/>
        </patternFill>
      </fill>
    </dxf>
    <dxf>
      <font>
        <color rgb="FFFF0000"/>
      </font>
      <fill>
        <patternFill>
          <bgColor rgb="FFFF0000"/>
        </patternFill>
      </fill>
    </dxf>
    <dxf>
      <font>
        <color rgb="FF92D050"/>
      </font>
      <fill>
        <patternFill>
          <bgColor rgb="FF92D05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92D050"/>
      </font>
      <fill>
        <patternFill>
          <bgColor rgb="FF92D050"/>
        </patternFill>
      </fill>
    </dxf>
    <dxf>
      <font>
        <color rgb="FFFF0000"/>
      </font>
      <fill>
        <patternFill>
          <bgColor rgb="FFFF0000"/>
        </patternFill>
      </fill>
    </dxf>
    <dxf>
      <font>
        <color rgb="FFFFC000"/>
      </font>
      <fill>
        <patternFill>
          <bgColor rgb="FFFFC000"/>
        </patternFill>
      </fill>
    </dxf>
    <dxf>
      <font>
        <color rgb="FF92D050"/>
      </font>
      <fill>
        <patternFill>
          <bgColor rgb="FF92D050"/>
        </patternFill>
      </fill>
    </dxf>
    <dxf>
      <font>
        <color rgb="FFFF0000"/>
      </font>
      <fill>
        <patternFill>
          <bgColor rgb="FFFF0000"/>
        </patternFill>
      </fill>
    </dxf>
    <dxf>
      <font>
        <color rgb="FF92D050"/>
      </font>
      <fill>
        <patternFill>
          <bgColor rgb="FF92D050"/>
        </patternFill>
      </fill>
    </dxf>
    <dxf>
      <font>
        <color rgb="FFFF0000"/>
      </font>
      <fill>
        <patternFill>
          <bgColor rgb="FFFF0000"/>
        </patternFill>
      </fill>
    </dxf>
    <dxf>
      <font>
        <color rgb="FFFFC000"/>
      </font>
      <fill>
        <patternFill>
          <bgColor rgb="FFFFC000"/>
        </patternFill>
      </fill>
    </dxf>
    <dxf>
      <font>
        <color rgb="FF92D050"/>
      </font>
      <fill>
        <patternFill>
          <bgColor rgb="FF92D050"/>
        </patternFill>
      </fill>
    </dxf>
    <dxf>
      <font>
        <color rgb="FFFF0000"/>
      </font>
      <fill>
        <patternFill>
          <bgColor rgb="FFFF0000"/>
        </patternFill>
      </fill>
    </dxf>
    <dxf>
      <font>
        <color rgb="FFFFC000"/>
      </font>
      <fill>
        <patternFill>
          <bgColor rgb="FFFFC000"/>
        </patternFill>
      </fill>
    </dxf>
    <dxf>
      <font>
        <b/>
        <i val="0"/>
        <u/>
        <color rgb="FFFF0000"/>
      </font>
    </dxf>
    <dxf>
      <font>
        <color rgb="FF92D050"/>
      </font>
      <fill>
        <patternFill>
          <bgColor rgb="FF92D050"/>
        </patternFill>
      </fill>
    </dxf>
    <dxf>
      <font>
        <color rgb="FFFF0000"/>
      </font>
      <fill>
        <patternFill>
          <bgColor rgb="FFFF0000"/>
        </patternFill>
      </fill>
    </dxf>
  </dxfs>
  <tableStyles count="0" defaultTableStyle="TableStyleMedium2" defaultPivotStyle="PivotStyleLight16"/>
  <colors>
    <mruColors>
      <color rgb="FF467886"/>
      <color rgb="FF002B96"/>
      <color rgb="FFEDD9C4"/>
      <color rgb="FFFFC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Index!A1"/></Relationships>
</file>

<file path=xl/drawings/_rels/drawing2.xml.rels><?xml version="1.0" encoding="UTF-8" standalone="yes"?>
<Relationships xmlns="http://schemas.openxmlformats.org/package/2006/relationships"><Relationship Id="rId8" Type="http://schemas.openxmlformats.org/officeDocument/2006/relationships/hyperlink" Target="#CoverSheet!D11"/><Relationship Id="rId3" Type="http://schemas.openxmlformats.org/officeDocument/2006/relationships/hyperlink" Target="#'REQ - Customer Risk'!R13"/><Relationship Id="rId7" Type="http://schemas.openxmlformats.org/officeDocument/2006/relationships/hyperlink" Target="#'REQ - Controls'!R14"/><Relationship Id="rId2" Type="http://schemas.openxmlformats.org/officeDocument/2006/relationships/image" Target="../media/image3.png"/><Relationship Id="rId1" Type="http://schemas.openxmlformats.org/officeDocument/2006/relationships/hyperlink" Target="#'REQ - Product Risk'!A1"/><Relationship Id="rId6" Type="http://schemas.openxmlformats.org/officeDocument/2006/relationships/image" Target="../media/image4.png"/><Relationship Id="rId5" Type="http://schemas.openxmlformats.org/officeDocument/2006/relationships/hyperlink" Target="#'REQ - Jurisdiction Risk'!R15"/><Relationship Id="rId4" Type="http://schemas.openxmlformats.org/officeDocument/2006/relationships/hyperlink" Target="#'REQ - Interface Risk'!R14"/><Relationship Id="rId9" Type="http://schemas.openxmlformats.org/officeDocument/2006/relationships/hyperlink" Target="#'REQ-SubjectPersonInformation'!A1"/></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png"/><Relationship Id="rId1" Type="http://schemas.openxmlformats.org/officeDocument/2006/relationships/hyperlink" Target="#Index!A1"/></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png"/><Relationship Id="rId1" Type="http://schemas.openxmlformats.org/officeDocument/2006/relationships/hyperlink" Target="#Index!A1"/></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png"/><Relationship Id="rId1" Type="http://schemas.openxmlformats.org/officeDocument/2006/relationships/hyperlink" Target="#Index!A1"/></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png"/><Relationship Id="rId1" Type="http://schemas.openxmlformats.org/officeDocument/2006/relationships/hyperlink" Target="#Index!A1"/></Relationships>
</file>

<file path=xl/drawings/_rels/drawing7.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png"/><Relationship Id="rId1" Type="http://schemas.openxmlformats.org/officeDocument/2006/relationships/hyperlink" Target="#Index!A1"/></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png"/><Relationship Id="rId1" Type="http://schemas.openxmlformats.org/officeDocument/2006/relationships/hyperlink" Target="#Index!A1"/></Relationships>
</file>

<file path=xl/drawings/drawing1.xml><?xml version="1.0" encoding="utf-8"?>
<xdr:wsDr xmlns:xdr="http://schemas.openxmlformats.org/drawingml/2006/spreadsheetDrawing" xmlns:a="http://schemas.openxmlformats.org/drawingml/2006/main">
  <xdr:twoCellAnchor editAs="oneCell">
    <xdr:from>
      <xdr:col>6</xdr:col>
      <xdr:colOff>271096</xdr:colOff>
      <xdr:row>0</xdr:row>
      <xdr:rowOff>73270</xdr:rowOff>
    </xdr:from>
    <xdr:to>
      <xdr:col>6</xdr:col>
      <xdr:colOff>588369</xdr:colOff>
      <xdr:row>1</xdr:row>
      <xdr:rowOff>151975</xdr:rowOff>
    </xdr:to>
    <xdr:pic>
      <xdr:nvPicPr>
        <xdr:cNvPr id="2" name="Picture 1">
          <a:hlinkClick xmlns:r="http://schemas.openxmlformats.org/officeDocument/2006/relationships" r:id="rId1"/>
          <a:extLst>
            <a:ext uri="{FF2B5EF4-FFF2-40B4-BE49-F238E27FC236}">
              <a16:creationId xmlns:a16="http://schemas.microsoft.com/office/drawing/2014/main" id="{6DF9DE76-41CB-40BE-9B4F-0B68632B450C}"/>
            </a:ext>
          </a:extLst>
        </xdr:cNvPr>
        <xdr:cNvPicPr>
          <a:picLocks noChangeAspect="1"/>
        </xdr:cNvPicPr>
      </xdr:nvPicPr>
      <xdr:blipFill>
        <a:blip xmlns:r="http://schemas.openxmlformats.org/officeDocument/2006/relationships" r:embed="rId2"/>
        <a:stretch>
          <a:fillRect/>
        </a:stretch>
      </xdr:blipFill>
      <xdr:spPr>
        <a:xfrm>
          <a:off x="7239000" y="73270"/>
          <a:ext cx="317273" cy="276532"/>
        </a:xfrm>
        <a:prstGeom prst="rect">
          <a:avLst/>
        </a:prstGeom>
      </xdr:spPr>
    </xdr:pic>
    <xdr:clientData/>
  </xdr:twoCellAnchor>
  <xdr:twoCellAnchor editAs="oneCell">
    <xdr:from>
      <xdr:col>0</xdr:col>
      <xdr:colOff>0</xdr:colOff>
      <xdr:row>0</xdr:row>
      <xdr:rowOff>38100</xdr:rowOff>
    </xdr:from>
    <xdr:to>
      <xdr:col>2</xdr:col>
      <xdr:colOff>758861</xdr:colOff>
      <xdr:row>2</xdr:row>
      <xdr:rowOff>87480</xdr:rowOff>
    </xdr:to>
    <xdr:pic>
      <xdr:nvPicPr>
        <xdr:cNvPr id="3" name="Picture 2">
          <a:extLst>
            <a:ext uri="{FF2B5EF4-FFF2-40B4-BE49-F238E27FC236}">
              <a16:creationId xmlns:a16="http://schemas.microsoft.com/office/drawing/2014/main" id="{89B71141-6CFE-4199-9764-7643A985678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38100"/>
          <a:ext cx="1882811" cy="4494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176213</xdr:colOff>
      <xdr:row>11</xdr:row>
      <xdr:rowOff>3673</xdr:rowOff>
    </xdr:from>
    <xdr:ext cx="191360" cy="191360"/>
    <xdr:pic>
      <xdr:nvPicPr>
        <xdr:cNvPr id="4" name="Picture 3">
          <a:hlinkClick xmlns:r="http://schemas.openxmlformats.org/officeDocument/2006/relationships" r:id="rId1"/>
          <a:extLst>
            <a:ext uri="{FF2B5EF4-FFF2-40B4-BE49-F238E27FC236}">
              <a16:creationId xmlns:a16="http://schemas.microsoft.com/office/drawing/2014/main" id="{D3C6B839-1283-416D-9A97-F7B86D591C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46302" y="1881459"/>
          <a:ext cx="191360" cy="191360"/>
        </a:xfrm>
        <a:prstGeom prst="rect">
          <a:avLst/>
        </a:prstGeom>
      </xdr:spPr>
    </xdr:pic>
    <xdr:clientData/>
  </xdr:oneCellAnchor>
  <xdr:oneCellAnchor>
    <xdr:from>
      <xdr:col>1</xdr:col>
      <xdr:colOff>176213</xdr:colOff>
      <xdr:row>12</xdr:row>
      <xdr:rowOff>2449</xdr:rowOff>
    </xdr:from>
    <xdr:ext cx="191360" cy="191360"/>
    <xdr:pic>
      <xdr:nvPicPr>
        <xdr:cNvPr id="16" name="Picture 15">
          <a:hlinkClick xmlns:r="http://schemas.openxmlformats.org/officeDocument/2006/relationships" r:id="rId3"/>
          <a:extLst>
            <a:ext uri="{FF2B5EF4-FFF2-40B4-BE49-F238E27FC236}">
              <a16:creationId xmlns:a16="http://schemas.microsoft.com/office/drawing/2014/main" id="{10018F41-50F6-4467-BA50-7D079FE57F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46302" y="2080940"/>
          <a:ext cx="191360" cy="191360"/>
        </a:xfrm>
        <a:prstGeom prst="rect">
          <a:avLst/>
        </a:prstGeom>
      </xdr:spPr>
    </xdr:pic>
    <xdr:clientData/>
  </xdr:oneCellAnchor>
  <xdr:oneCellAnchor>
    <xdr:from>
      <xdr:col>1</xdr:col>
      <xdr:colOff>176213</xdr:colOff>
      <xdr:row>14</xdr:row>
      <xdr:rowOff>0</xdr:rowOff>
    </xdr:from>
    <xdr:ext cx="191360" cy="191360"/>
    <xdr:pic>
      <xdr:nvPicPr>
        <xdr:cNvPr id="18" name="Picture 17">
          <a:hlinkClick xmlns:r="http://schemas.openxmlformats.org/officeDocument/2006/relationships" r:id="rId4"/>
          <a:extLst>
            <a:ext uri="{FF2B5EF4-FFF2-40B4-BE49-F238E27FC236}">
              <a16:creationId xmlns:a16="http://schemas.microsoft.com/office/drawing/2014/main" id="{99CA42ED-16EB-4222-B6E3-863AEE35E8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46302" y="2479902"/>
          <a:ext cx="191360" cy="191360"/>
        </a:xfrm>
        <a:prstGeom prst="rect">
          <a:avLst/>
        </a:prstGeom>
      </xdr:spPr>
    </xdr:pic>
    <xdr:clientData/>
  </xdr:oneCellAnchor>
  <xdr:oneCellAnchor>
    <xdr:from>
      <xdr:col>1</xdr:col>
      <xdr:colOff>176213</xdr:colOff>
      <xdr:row>13</xdr:row>
      <xdr:rowOff>1225</xdr:rowOff>
    </xdr:from>
    <xdr:ext cx="191360" cy="191360"/>
    <xdr:pic>
      <xdr:nvPicPr>
        <xdr:cNvPr id="2" name="Picture 1">
          <a:hlinkClick xmlns:r="http://schemas.openxmlformats.org/officeDocument/2006/relationships" r:id="rId5"/>
          <a:extLst>
            <a:ext uri="{FF2B5EF4-FFF2-40B4-BE49-F238E27FC236}">
              <a16:creationId xmlns:a16="http://schemas.microsoft.com/office/drawing/2014/main" id="{418D9187-0866-4A4F-82C2-28EF406DEE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46302" y="2280421"/>
          <a:ext cx="191360" cy="191360"/>
        </a:xfrm>
        <a:prstGeom prst="rect">
          <a:avLst/>
        </a:prstGeom>
      </xdr:spPr>
    </xdr:pic>
    <xdr:clientData/>
  </xdr:oneCellAnchor>
  <xdr:twoCellAnchor editAs="oneCell">
    <xdr:from>
      <xdr:col>0</xdr:col>
      <xdr:colOff>76200</xdr:colOff>
      <xdr:row>0</xdr:row>
      <xdr:rowOff>161925</xdr:rowOff>
    </xdr:from>
    <xdr:to>
      <xdr:col>2</xdr:col>
      <xdr:colOff>587688</xdr:colOff>
      <xdr:row>2</xdr:row>
      <xdr:rowOff>15875</xdr:rowOff>
    </xdr:to>
    <xdr:pic>
      <xdr:nvPicPr>
        <xdr:cNvPr id="6" name="Picture 10">
          <a:extLst>
            <a:ext uri="{FF2B5EF4-FFF2-40B4-BE49-F238E27FC236}">
              <a16:creationId xmlns:a16="http://schemas.microsoft.com/office/drawing/2014/main" id="{CC5F2E9D-2B78-4B19-BBDE-F8E1AEE44BE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6200" y="161925"/>
          <a:ext cx="1149663" cy="282575"/>
        </a:xfrm>
        <a:prstGeom prst="rect">
          <a:avLst/>
        </a:prstGeom>
      </xdr:spPr>
    </xdr:pic>
    <xdr:clientData/>
  </xdr:twoCellAnchor>
  <xdr:oneCellAnchor>
    <xdr:from>
      <xdr:col>1</xdr:col>
      <xdr:colOff>176213</xdr:colOff>
      <xdr:row>10</xdr:row>
      <xdr:rowOff>4898</xdr:rowOff>
    </xdr:from>
    <xdr:ext cx="191360" cy="191360"/>
    <xdr:pic>
      <xdr:nvPicPr>
        <xdr:cNvPr id="7" name="Picture 6">
          <a:hlinkClick xmlns:r="http://schemas.openxmlformats.org/officeDocument/2006/relationships" r:id="rId7"/>
          <a:extLst>
            <a:ext uri="{FF2B5EF4-FFF2-40B4-BE49-F238E27FC236}">
              <a16:creationId xmlns:a16="http://schemas.microsoft.com/office/drawing/2014/main" id="{420283D0-49F6-4B6F-AB4D-000F71C77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46302" y="1681978"/>
          <a:ext cx="191360" cy="191360"/>
        </a:xfrm>
        <a:prstGeom prst="rect">
          <a:avLst/>
        </a:prstGeom>
      </xdr:spPr>
    </xdr:pic>
    <xdr:clientData/>
  </xdr:oneCellAnchor>
  <xdr:oneCellAnchor>
    <xdr:from>
      <xdr:col>1</xdr:col>
      <xdr:colOff>182563</xdr:colOff>
      <xdr:row>8</xdr:row>
      <xdr:rowOff>9297</xdr:rowOff>
    </xdr:from>
    <xdr:ext cx="191360" cy="191360"/>
    <xdr:pic>
      <xdr:nvPicPr>
        <xdr:cNvPr id="8" name="Picture 7">
          <a:hlinkClick xmlns:r="http://schemas.openxmlformats.org/officeDocument/2006/relationships" r:id="rId8"/>
          <a:extLst>
            <a:ext uri="{FF2B5EF4-FFF2-40B4-BE49-F238E27FC236}">
              <a16:creationId xmlns:a16="http://schemas.microsoft.com/office/drawing/2014/main" id="{88D876B7-BBBD-4274-A8CE-976FC7B8BC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63538" y="1418997"/>
          <a:ext cx="191360" cy="191360"/>
        </a:xfrm>
        <a:prstGeom prst="rect">
          <a:avLst/>
        </a:prstGeom>
      </xdr:spPr>
    </xdr:pic>
    <xdr:clientData/>
  </xdr:oneCellAnchor>
  <xdr:oneCellAnchor>
    <xdr:from>
      <xdr:col>1</xdr:col>
      <xdr:colOff>177800</xdr:colOff>
      <xdr:row>9</xdr:row>
      <xdr:rowOff>9525</xdr:rowOff>
    </xdr:from>
    <xdr:ext cx="191360" cy="191360"/>
    <xdr:pic>
      <xdr:nvPicPr>
        <xdr:cNvPr id="3" name="Picture 2">
          <a:hlinkClick xmlns:r="http://schemas.openxmlformats.org/officeDocument/2006/relationships" r:id="rId9"/>
          <a:extLst>
            <a:ext uri="{FF2B5EF4-FFF2-40B4-BE49-F238E27FC236}">
              <a16:creationId xmlns:a16="http://schemas.microsoft.com/office/drawing/2014/main" id="{89FC3268-C44D-43D8-B55A-2118BBAF4D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8775" y="1619250"/>
          <a:ext cx="191360" cy="19136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17</xdr:col>
      <xdr:colOff>2466975</xdr:colOff>
      <xdr:row>0</xdr:row>
      <xdr:rowOff>68356</xdr:rowOff>
    </xdr:from>
    <xdr:to>
      <xdr:col>17</xdr:col>
      <xdr:colOff>2885082</xdr:colOff>
      <xdr:row>1</xdr:row>
      <xdr:rowOff>142968</xdr:rowOff>
    </xdr:to>
    <xdr:pic>
      <xdr:nvPicPr>
        <xdr:cNvPr id="2" name="Picture 1">
          <a:hlinkClick xmlns:r="http://schemas.openxmlformats.org/officeDocument/2006/relationships" r:id="rId1"/>
          <a:extLst>
            <a:ext uri="{FF2B5EF4-FFF2-40B4-BE49-F238E27FC236}">
              <a16:creationId xmlns:a16="http://schemas.microsoft.com/office/drawing/2014/main" id="{5C74FA06-8872-4BAF-829A-9869C6F923E5}"/>
            </a:ext>
          </a:extLst>
        </xdr:cNvPr>
        <xdr:cNvPicPr>
          <a:picLocks noChangeAspect="1"/>
        </xdr:cNvPicPr>
      </xdr:nvPicPr>
      <xdr:blipFill>
        <a:blip xmlns:r="http://schemas.openxmlformats.org/officeDocument/2006/relationships" r:embed="rId2" cstate="print">
          <a:lum bright="70000" contrast="-70000"/>
          <a:extLst>
            <a:ext uri="{28A0092B-C50C-407E-A947-70E740481C1C}">
              <a14:useLocalDpi xmlns:a14="http://schemas.microsoft.com/office/drawing/2010/main" val="0"/>
            </a:ext>
          </a:extLst>
        </a:blip>
        <a:stretch>
          <a:fillRect/>
        </a:stretch>
      </xdr:blipFill>
      <xdr:spPr>
        <a:xfrm flipH="1">
          <a:off x="13522325" y="65181"/>
          <a:ext cx="428939" cy="255587"/>
        </a:xfrm>
        <a:prstGeom prst="rect">
          <a:avLst/>
        </a:prstGeom>
      </xdr:spPr>
    </xdr:pic>
    <xdr:clientData/>
  </xdr:twoCellAnchor>
  <xdr:twoCellAnchor editAs="oneCell">
    <xdr:from>
      <xdr:col>0</xdr:col>
      <xdr:colOff>85725</xdr:colOff>
      <xdr:row>0</xdr:row>
      <xdr:rowOff>180975</xdr:rowOff>
    </xdr:from>
    <xdr:to>
      <xdr:col>3</xdr:col>
      <xdr:colOff>87719</xdr:colOff>
      <xdr:row>2</xdr:row>
      <xdr:rowOff>92075</xdr:rowOff>
    </xdr:to>
    <xdr:pic>
      <xdr:nvPicPr>
        <xdr:cNvPr id="3" name="Picture 10">
          <a:extLst>
            <a:ext uri="{FF2B5EF4-FFF2-40B4-BE49-F238E27FC236}">
              <a16:creationId xmlns:a16="http://schemas.microsoft.com/office/drawing/2014/main" id="{3DC378D9-4D6E-4E40-ACFA-C671E2AD15E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550" y="177800"/>
          <a:ext cx="1219513" cy="2762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17</xdr:col>
      <xdr:colOff>2466975</xdr:colOff>
      <xdr:row>0</xdr:row>
      <xdr:rowOff>68356</xdr:rowOff>
    </xdr:from>
    <xdr:to>
      <xdr:col>19</xdr:col>
      <xdr:colOff>111439</xdr:colOff>
      <xdr:row>1</xdr:row>
      <xdr:rowOff>130268</xdr:rowOff>
    </xdr:to>
    <xdr:pic>
      <xdr:nvPicPr>
        <xdr:cNvPr id="2" name="Picture 1">
          <a:hlinkClick xmlns:r="http://schemas.openxmlformats.org/officeDocument/2006/relationships" r:id="rId1"/>
          <a:extLst>
            <a:ext uri="{FF2B5EF4-FFF2-40B4-BE49-F238E27FC236}">
              <a16:creationId xmlns:a16="http://schemas.microsoft.com/office/drawing/2014/main" id="{C9BF951F-322E-4833-B5A2-530098661173}"/>
            </a:ext>
          </a:extLst>
        </xdr:cNvPr>
        <xdr:cNvPicPr>
          <a:picLocks noChangeAspect="1"/>
        </xdr:cNvPicPr>
      </xdr:nvPicPr>
      <xdr:blipFill>
        <a:blip xmlns:r="http://schemas.openxmlformats.org/officeDocument/2006/relationships" r:embed="rId2" cstate="print">
          <a:lum bright="70000" contrast="-70000"/>
          <a:extLst>
            <a:ext uri="{28A0092B-C50C-407E-A947-70E740481C1C}">
              <a14:useLocalDpi xmlns:a14="http://schemas.microsoft.com/office/drawing/2010/main" val="0"/>
            </a:ext>
          </a:extLst>
        </a:blip>
        <a:stretch>
          <a:fillRect/>
        </a:stretch>
      </xdr:blipFill>
      <xdr:spPr>
        <a:xfrm flipH="1">
          <a:off x="13011150" y="68356"/>
          <a:ext cx="301939" cy="252412"/>
        </a:xfrm>
        <a:prstGeom prst="rect">
          <a:avLst/>
        </a:prstGeom>
      </xdr:spPr>
    </xdr:pic>
    <xdr:clientData/>
  </xdr:twoCellAnchor>
  <xdr:twoCellAnchor editAs="oneCell">
    <xdr:from>
      <xdr:col>0</xdr:col>
      <xdr:colOff>85725</xdr:colOff>
      <xdr:row>0</xdr:row>
      <xdr:rowOff>180975</xdr:rowOff>
    </xdr:from>
    <xdr:to>
      <xdr:col>3</xdr:col>
      <xdr:colOff>73338</xdr:colOff>
      <xdr:row>2</xdr:row>
      <xdr:rowOff>34925</xdr:rowOff>
    </xdr:to>
    <xdr:pic>
      <xdr:nvPicPr>
        <xdr:cNvPr id="4" name="Picture 10">
          <a:extLst>
            <a:ext uri="{FF2B5EF4-FFF2-40B4-BE49-F238E27FC236}">
              <a16:creationId xmlns:a16="http://schemas.microsoft.com/office/drawing/2014/main" id="{EE35ECBE-5A13-4BF3-8E88-7DA003D0163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5725" y="180975"/>
          <a:ext cx="1149663" cy="2825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17</xdr:col>
      <xdr:colOff>2435679</xdr:colOff>
      <xdr:row>0</xdr:row>
      <xdr:rowOff>110538</xdr:rowOff>
    </xdr:from>
    <xdr:to>
      <xdr:col>19</xdr:col>
      <xdr:colOff>56623</xdr:colOff>
      <xdr:row>1</xdr:row>
      <xdr:rowOff>162925</xdr:rowOff>
    </xdr:to>
    <xdr:pic>
      <xdr:nvPicPr>
        <xdr:cNvPr id="2" name="Picture 1">
          <a:hlinkClick xmlns:r="http://schemas.openxmlformats.org/officeDocument/2006/relationships" r:id="rId1"/>
          <a:extLst>
            <a:ext uri="{FF2B5EF4-FFF2-40B4-BE49-F238E27FC236}">
              <a16:creationId xmlns:a16="http://schemas.microsoft.com/office/drawing/2014/main" id="{969692D7-4933-40D4-828F-C225797FE867}"/>
            </a:ext>
          </a:extLst>
        </xdr:cNvPr>
        <xdr:cNvPicPr>
          <a:picLocks noChangeAspect="1"/>
        </xdr:cNvPicPr>
      </xdr:nvPicPr>
      <xdr:blipFill>
        <a:blip xmlns:r="http://schemas.openxmlformats.org/officeDocument/2006/relationships" r:embed="rId2" cstate="print">
          <a:lum bright="70000" contrast="-70000"/>
          <a:extLst>
            <a:ext uri="{28A0092B-C50C-407E-A947-70E740481C1C}">
              <a14:useLocalDpi xmlns:a14="http://schemas.microsoft.com/office/drawing/2010/main" val="0"/>
            </a:ext>
          </a:extLst>
        </a:blip>
        <a:stretch>
          <a:fillRect/>
        </a:stretch>
      </xdr:blipFill>
      <xdr:spPr>
        <a:xfrm flipH="1">
          <a:off x="13035643" y="110538"/>
          <a:ext cx="301551" cy="256494"/>
        </a:xfrm>
        <a:prstGeom prst="rect">
          <a:avLst/>
        </a:prstGeom>
      </xdr:spPr>
    </xdr:pic>
    <xdr:clientData/>
  </xdr:twoCellAnchor>
  <xdr:twoCellAnchor editAs="oneCell">
    <xdr:from>
      <xdr:col>0</xdr:col>
      <xdr:colOff>95251</xdr:colOff>
      <xdr:row>0</xdr:row>
      <xdr:rowOff>163286</xdr:rowOff>
    </xdr:from>
    <xdr:to>
      <xdr:col>3</xdr:col>
      <xdr:colOff>86246</xdr:colOff>
      <xdr:row>2</xdr:row>
      <xdr:rowOff>9979</xdr:rowOff>
    </xdr:to>
    <xdr:pic>
      <xdr:nvPicPr>
        <xdr:cNvPr id="3" name="Picture 10">
          <a:extLst>
            <a:ext uri="{FF2B5EF4-FFF2-40B4-BE49-F238E27FC236}">
              <a16:creationId xmlns:a16="http://schemas.microsoft.com/office/drawing/2014/main" id="{BE837DC1-04FB-4708-88AD-14D682435A8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5251" y="163286"/>
          <a:ext cx="1149663" cy="2825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17</xdr:col>
      <xdr:colOff>2438400</xdr:colOff>
      <xdr:row>0</xdr:row>
      <xdr:rowOff>96931</xdr:rowOff>
    </xdr:from>
    <xdr:to>
      <xdr:col>19</xdr:col>
      <xdr:colOff>67509</xdr:colOff>
      <xdr:row>1</xdr:row>
      <xdr:rowOff>149318</xdr:rowOff>
    </xdr:to>
    <xdr:pic>
      <xdr:nvPicPr>
        <xdr:cNvPr id="2" name="Picture 1">
          <a:hlinkClick xmlns:r="http://schemas.openxmlformats.org/officeDocument/2006/relationships" r:id="rId1"/>
          <a:extLst>
            <a:ext uri="{FF2B5EF4-FFF2-40B4-BE49-F238E27FC236}">
              <a16:creationId xmlns:a16="http://schemas.microsoft.com/office/drawing/2014/main" id="{CBCDC2D1-6A3A-4E58-8DF3-E522341E59E0}"/>
            </a:ext>
          </a:extLst>
        </xdr:cNvPr>
        <xdr:cNvPicPr>
          <a:picLocks noChangeAspect="1"/>
        </xdr:cNvPicPr>
      </xdr:nvPicPr>
      <xdr:blipFill>
        <a:blip xmlns:r="http://schemas.openxmlformats.org/officeDocument/2006/relationships" r:embed="rId2" cstate="print">
          <a:lum bright="70000" contrast="-70000"/>
          <a:extLst>
            <a:ext uri="{28A0092B-C50C-407E-A947-70E740481C1C}">
              <a14:useLocalDpi xmlns:a14="http://schemas.microsoft.com/office/drawing/2010/main" val="0"/>
            </a:ext>
          </a:extLst>
        </a:blip>
        <a:stretch>
          <a:fillRect/>
        </a:stretch>
      </xdr:blipFill>
      <xdr:spPr>
        <a:xfrm flipH="1">
          <a:off x="12992100" y="96931"/>
          <a:ext cx="292934" cy="252412"/>
        </a:xfrm>
        <a:prstGeom prst="rect">
          <a:avLst/>
        </a:prstGeom>
      </xdr:spPr>
    </xdr:pic>
    <xdr:clientData/>
  </xdr:twoCellAnchor>
  <xdr:twoCellAnchor editAs="oneCell">
    <xdr:from>
      <xdr:col>0</xdr:col>
      <xdr:colOff>66675</xdr:colOff>
      <xdr:row>0</xdr:row>
      <xdr:rowOff>190500</xdr:rowOff>
    </xdr:from>
    <xdr:to>
      <xdr:col>3</xdr:col>
      <xdr:colOff>54288</xdr:colOff>
      <xdr:row>2</xdr:row>
      <xdr:rowOff>34925</xdr:rowOff>
    </xdr:to>
    <xdr:pic>
      <xdr:nvPicPr>
        <xdr:cNvPr id="3" name="Picture 10">
          <a:extLst>
            <a:ext uri="{FF2B5EF4-FFF2-40B4-BE49-F238E27FC236}">
              <a16:creationId xmlns:a16="http://schemas.microsoft.com/office/drawing/2014/main" id="{F5DFD649-CCEF-47E0-8BE8-9BA1BF50401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6675" y="190500"/>
          <a:ext cx="1149663" cy="2825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17</xdr:col>
      <xdr:colOff>2454089</xdr:colOff>
      <xdr:row>0</xdr:row>
      <xdr:rowOff>74519</xdr:rowOff>
    </xdr:from>
    <xdr:to>
      <xdr:col>19</xdr:col>
      <xdr:colOff>68656</xdr:colOff>
      <xdr:row>1</xdr:row>
      <xdr:rowOff>123731</xdr:rowOff>
    </xdr:to>
    <xdr:pic>
      <xdr:nvPicPr>
        <xdr:cNvPr id="2" name="Picture 1">
          <a:hlinkClick xmlns:r="http://schemas.openxmlformats.org/officeDocument/2006/relationships" r:id="rId1"/>
          <a:extLst>
            <a:ext uri="{FF2B5EF4-FFF2-40B4-BE49-F238E27FC236}">
              <a16:creationId xmlns:a16="http://schemas.microsoft.com/office/drawing/2014/main" id="{B05FEE69-CEB5-42CB-817A-B588E525EB56}"/>
            </a:ext>
          </a:extLst>
        </xdr:cNvPr>
        <xdr:cNvPicPr>
          <a:picLocks noChangeAspect="1"/>
        </xdr:cNvPicPr>
      </xdr:nvPicPr>
      <xdr:blipFill>
        <a:blip xmlns:r="http://schemas.openxmlformats.org/officeDocument/2006/relationships" r:embed="rId2" cstate="print">
          <a:lum bright="70000" contrast="-70000"/>
          <a:extLst>
            <a:ext uri="{28A0092B-C50C-407E-A947-70E740481C1C}">
              <a14:useLocalDpi xmlns:a14="http://schemas.microsoft.com/office/drawing/2010/main" val="0"/>
            </a:ext>
          </a:extLst>
        </a:blip>
        <a:stretch>
          <a:fillRect/>
        </a:stretch>
      </xdr:blipFill>
      <xdr:spPr>
        <a:xfrm flipH="1">
          <a:off x="13021236" y="74519"/>
          <a:ext cx="284742" cy="254093"/>
        </a:xfrm>
        <a:prstGeom prst="rect">
          <a:avLst/>
        </a:prstGeom>
      </xdr:spPr>
    </xdr:pic>
    <xdr:clientData/>
  </xdr:twoCellAnchor>
  <xdr:twoCellAnchor editAs="oneCell">
    <xdr:from>
      <xdr:col>0</xdr:col>
      <xdr:colOff>78442</xdr:colOff>
      <xdr:row>0</xdr:row>
      <xdr:rowOff>179294</xdr:rowOff>
    </xdr:from>
    <xdr:to>
      <xdr:col>3</xdr:col>
      <xdr:colOff>65868</xdr:colOff>
      <xdr:row>2</xdr:row>
      <xdr:rowOff>28015</xdr:rowOff>
    </xdr:to>
    <xdr:pic>
      <xdr:nvPicPr>
        <xdr:cNvPr id="4" name="Picture 10">
          <a:extLst>
            <a:ext uri="{FF2B5EF4-FFF2-40B4-BE49-F238E27FC236}">
              <a16:creationId xmlns:a16="http://schemas.microsoft.com/office/drawing/2014/main" id="{D7162D2E-6D18-4EE6-8F7B-AAEBE642BF5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8442" y="179294"/>
          <a:ext cx="1149663" cy="2825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17</xdr:col>
      <xdr:colOff>2521324</xdr:colOff>
      <xdr:row>0</xdr:row>
      <xdr:rowOff>85725</xdr:rowOff>
    </xdr:from>
    <xdr:to>
      <xdr:col>19</xdr:col>
      <xdr:colOff>124311</xdr:colOff>
      <xdr:row>1</xdr:row>
      <xdr:rowOff>125412</xdr:rowOff>
    </xdr:to>
    <xdr:pic>
      <xdr:nvPicPr>
        <xdr:cNvPr id="3" name="Picture 2">
          <a:hlinkClick xmlns:r="http://schemas.openxmlformats.org/officeDocument/2006/relationships" r:id="rId1"/>
          <a:extLst>
            <a:ext uri="{FF2B5EF4-FFF2-40B4-BE49-F238E27FC236}">
              <a16:creationId xmlns:a16="http://schemas.microsoft.com/office/drawing/2014/main" id="{0842F401-2176-442B-AF4E-40DD7B5F0DD0}"/>
            </a:ext>
          </a:extLst>
        </xdr:cNvPr>
        <xdr:cNvPicPr>
          <a:picLocks noChangeAspect="1"/>
        </xdr:cNvPicPr>
      </xdr:nvPicPr>
      <xdr:blipFill>
        <a:blip xmlns:r="http://schemas.openxmlformats.org/officeDocument/2006/relationships" r:embed="rId2" cstate="print">
          <a:lum bright="70000" contrast="-70000"/>
          <a:extLst>
            <a:ext uri="{28A0092B-C50C-407E-A947-70E740481C1C}">
              <a14:useLocalDpi xmlns:a14="http://schemas.microsoft.com/office/drawing/2010/main" val="0"/>
            </a:ext>
          </a:extLst>
        </a:blip>
        <a:stretch>
          <a:fillRect/>
        </a:stretch>
      </xdr:blipFill>
      <xdr:spPr>
        <a:xfrm flipH="1">
          <a:off x="13088471" y="85725"/>
          <a:ext cx="281192" cy="235043"/>
        </a:xfrm>
        <a:prstGeom prst="rect">
          <a:avLst/>
        </a:prstGeom>
      </xdr:spPr>
    </xdr:pic>
    <xdr:clientData/>
  </xdr:twoCellAnchor>
  <xdr:twoCellAnchor editAs="oneCell">
    <xdr:from>
      <xdr:col>0</xdr:col>
      <xdr:colOff>100853</xdr:colOff>
      <xdr:row>1</xdr:row>
      <xdr:rowOff>0</xdr:rowOff>
    </xdr:from>
    <xdr:to>
      <xdr:col>3</xdr:col>
      <xdr:colOff>85104</xdr:colOff>
      <xdr:row>2</xdr:row>
      <xdr:rowOff>47252</xdr:rowOff>
    </xdr:to>
    <xdr:pic>
      <xdr:nvPicPr>
        <xdr:cNvPr id="2" name="Picture 10">
          <a:extLst>
            <a:ext uri="{FF2B5EF4-FFF2-40B4-BE49-F238E27FC236}">
              <a16:creationId xmlns:a16="http://schemas.microsoft.com/office/drawing/2014/main" id="{28233251-2419-4B2F-8F48-343F7B02049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0853" y="201706"/>
          <a:ext cx="1149663" cy="2825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lhportal.mfsa.mt/Home/Contact"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CAFED-6B4D-4EEA-866E-F166D6BC4B94}">
  <sheetPr codeName="Sheet1">
    <tabColor rgb="FF002B96"/>
  </sheetPr>
  <dimension ref="A1:H37"/>
  <sheetViews>
    <sheetView tabSelected="1" workbookViewId="0"/>
  </sheetViews>
  <sheetFormatPr defaultColWidth="0" defaultRowHeight="15" zeroHeight="1" x14ac:dyDescent="0.25"/>
  <cols>
    <col min="1" max="1" width="14.42578125" style="132" customWidth="1"/>
    <col min="2" max="2" width="2.42578125" style="132" customWidth="1"/>
    <col min="3" max="3" width="37.42578125" style="132" customWidth="1"/>
    <col min="4" max="4" width="31.5703125" style="133" customWidth="1"/>
    <col min="5" max="5" width="13.5703125" style="133" customWidth="1"/>
    <col min="6" max="6" width="1.28515625" style="10" customWidth="1"/>
    <col min="7" max="7" width="31.7109375" style="10" customWidth="1"/>
    <col min="8" max="8" width="0.5703125" style="22" customWidth="1"/>
    <col min="9" max="16384" width="9.140625" style="10" hidden="1"/>
  </cols>
  <sheetData>
    <row r="1" spans="1:8" ht="15.75" x14ac:dyDescent="0.25">
      <c r="A1" s="1"/>
      <c r="B1" s="1"/>
      <c r="C1" s="3"/>
      <c r="D1" s="3"/>
      <c r="E1" s="3"/>
      <c r="F1" s="1"/>
      <c r="G1" s="1"/>
    </row>
    <row r="2" spans="1:8" ht="15.75" x14ac:dyDescent="0.25">
      <c r="A2" s="1"/>
      <c r="B2" s="1"/>
      <c r="C2" s="3"/>
      <c r="D2" s="3"/>
      <c r="E2" s="3"/>
      <c r="F2" s="1"/>
      <c r="G2" s="1"/>
    </row>
    <row r="3" spans="1:8" ht="15.75" x14ac:dyDescent="0.25">
      <c r="A3" s="1"/>
      <c r="B3" s="1"/>
      <c r="C3" s="3"/>
      <c r="D3" s="3"/>
      <c r="E3" s="3"/>
      <c r="F3" s="1"/>
      <c r="G3" s="1"/>
    </row>
    <row r="4" spans="1:8" ht="20.25" x14ac:dyDescent="0.25">
      <c r="A4" s="1"/>
      <c r="B4" s="1"/>
      <c r="C4" s="171" t="s">
        <v>1231</v>
      </c>
      <c r="D4" s="171"/>
      <c r="E4" s="3"/>
      <c r="F4" s="1"/>
      <c r="G4" s="1"/>
    </row>
    <row r="5" spans="1:8" ht="6" customHeight="1" x14ac:dyDescent="0.25">
      <c r="A5" s="1"/>
      <c r="B5" s="1"/>
      <c r="C5" s="4"/>
      <c r="D5" s="5"/>
      <c r="E5" s="3"/>
      <c r="F5" s="1"/>
      <c r="G5" s="1"/>
    </row>
    <row r="6" spans="1:8" ht="19.5" customHeight="1" x14ac:dyDescent="0.25">
      <c r="A6" s="1"/>
      <c r="B6" s="1"/>
      <c r="C6" s="172" t="s">
        <v>0</v>
      </c>
      <c r="D6" s="172"/>
      <c r="E6" s="3"/>
      <c r="F6" s="1"/>
      <c r="G6" s="1"/>
    </row>
    <row r="7" spans="1:8" ht="15.75" x14ac:dyDescent="0.25">
      <c r="A7" s="2" t="s">
        <v>40</v>
      </c>
      <c r="B7" s="2"/>
      <c r="C7" s="3"/>
      <c r="D7" s="3"/>
      <c r="E7" s="3"/>
      <c r="F7" s="1"/>
      <c r="G7" s="1"/>
    </row>
    <row r="8" spans="1:8" x14ac:dyDescent="0.25"/>
    <row r="9" spans="1:8" s="46" customFormat="1" x14ac:dyDescent="0.25">
      <c r="A9" s="46" t="s">
        <v>1049</v>
      </c>
      <c r="H9" s="22"/>
    </row>
    <row r="10" spans="1:8" s="46" customFormat="1" x14ac:dyDescent="0.25">
      <c r="H10" s="22"/>
    </row>
    <row r="11" spans="1:8" x14ac:dyDescent="0.25">
      <c r="A11" s="134" t="s">
        <v>1200</v>
      </c>
      <c r="B11" s="134"/>
      <c r="C11" s="135" t="s">
        <v>1</v>
      </c>
      <c r="D11" s="173"/>
      <c r="E11" s="173"/>
      <c r="F11" s="158" t="str">
        <f>IF(ISBLANK(D11),"R","G")</f>
        <v>R</v>
      </c>
    </row>
    <row r="12" spans="1:8" x14ac:dyDescent="0.25">
      <c r="A12" s="134"/>
      <c r="B12" s="134"/>
      <c r="C12" s="135"/>
    </row>
    <row r="13" spans="1:8" x14ac:dyDescent="0.25">
      <c r="A13" s="134" t="s">
        <v>1201</v>
      </c>
      <c r="B13" s="134"/>
      <c r="C13" s="135" t="s">
        <v>1232</v>
      </c>
      <c r="D13" s="170" t="str">
        <f>IF(ISBLANK(D11),"",_xlfn.XLOOKUP(D11,List_1!B:B,List_1!C:C))</f>
        <v/>
      </c>
      <c r="E13" s="170"/>
    </row>
    <row r="14" spans="1:8" x14ac:dyDescent="0.25">
      <c r="A14" s="134"/>
      <c r="B14" s="134"/>
      <c r="C14" s="135"/>
    </row>
    <row r="15" spans="1:8" x14ac:dyDescent="0.25">
      <c r="A15" s="134" t="s">
        <v>1202</v>
      </c>
      <c r="B15" s="134"/>
      <c r="C15" s="135" t="s">
        <v>51</v>
      </c>
      <c r="D15" s="170" t="str">
        <f>List_2!A2</f>
        <v>01/01/2025 - 31/12/2025</v>
      </c>
      <c r="E15" s="170"/>
    </row>
    <row r="16" spans="1:8" x14ac:dyDescent="0.25">
      <c r="A16" s="10"/>
      <c r="B16" s="10"/>
      <c r="C16" s="10"/>
      <c r="D16" s="10"/>
      <c r="E16" s="10"/>
    </row>
    <row r="17" spans="1:8" ht="6.75" customHeight="1" x14ac:dyDescent="0.25">
      <c r="A17" s="10"/>
      <c r="B17" s="10"/>
      <c r="C17" s="10"/>
      <c r="D17" s="10"/>
      <c r="E17" s="10"/>
    </row>
    <row r="18" spans="1:8" s="75" customFormat="1" ht="6.75" customHeight="1" x14ac:dyDescent="0.25">
      <c r="H18" s="22"/>
    </row>
    <row r="19" spans="1:8" ht="6.75" customHeight="1" x14ac:dyDescent="0.25">
      <c r="A19" s="10"/>
      <c r="B19" s="10"/>
      <c r="C19" s="10"/>
      <c r="D19" s="10"/>
      <c r="E19" s="10"/>
    </row>
    <row r="20" spans="1:8" ht="19.5" thickBot="1" x14ac:dyDescent="0.3">
      <c r="A20" s="38" t="s">
        <v>1218</v>
      </c>
      <c r="B20" s="38"/>
      <c r="C20" s="38"/>
      <c r="D20" s="38"/>
      <c r="E20" s="38"/>
      <c r="F20" s="38"/>
      <c r="G20" s="38"/>
    </row>
    <row r="21" spans="1:8" x14ac:dyDescent="0.25">
      <c r="A21" s="15"/>
      <c r="B21" s="10"/>
      <c r="C21" s="10"/>
      <c r="D21" s="10"/>
      <c r="E21" s="10"/>
    </row>
    <row r="22" spans="1:8" ht="15" customHeight="1" x14ac:dyDescent="0.25">
      <c r="A22" s="169" t="s">
        <v>1075</v>
      </c>
      <c r="B22" s="169"/>
      <c r="C22" s="169"/>
      <c r="D22" s="169"/>
      <c r="E22" s="169"/>
      <c r="F22" s="169"/>
      <c r="G22" s="169"/>
    </row>
    <row r="23" spans="1:8" x14ac:dyDescent="0.25">
      <c r="A23" s="169"/>
      <c r="B23" s="169"/>
      <c r="C23" s="169"/>
      <c r="D23" s="169"/>
      <c r="E23" s="169"/>
      <c r="F23" s="169"/>
      <c r="G23" s="169"/>
    </row>
    <row r="24" spans="1:8" x14ac:dyDescent="0.25">
      <c r="A24" s="164"/>
      <c r="B24" s="137">
        <v>1</v>
      </c>
      <c r="C24" s="149" t="str">
        <f>HYPERLINK("#'REQ-SubjectPersonInformation'!A1", "REQ - Subject Person Information")</f>
        <v>REQ - Subject Person Information</v>
      </c>
      <c r="D24" s="164"/>
      <c r="E24" s="164"/>
      <c r="F24" s="164"/>
      <c r="G24" s="164"/>
    </row>
    <row r="25" spans="1:8" x14ac:dyDescent="0.25">
      <c r="A25" s="136"/>
      <c r="B25" s="137">
        <v>2</v>
      </c>
      <c r="C25" s="149" t="str">
        <f>HYPERLINK("#'REQ - Product Risk'!A1", "REQ - Product Risk")</f>
        <v>REQ - Product Risk</v>
      </c>
    </row>
    <row r="26" spans="1:8" x14ac:dyDescent="0.25">
      <c r="A26" s="136"/>
      <c r="B26" s="137">
        <v>3</v>
      </c>
      <c r="C26" s="149" t="str">
        <f>HYPERLINK("#'REQ - Customer Risk'!A1", "REQ - Customer Risk")</f>
        <v>REQ - Customer Risk</v>
      </c>
    </row>
    <row r="27" spans="1:8" x14ac:dyDescent="0.25">
      <c r="A27" s="136"/>
      <c r="B27" s="137">
        <v>4</v>
      </c>
      <c r="C27" s="149" t="str">
        <f>HYPERLINK("#'REQ - Jurisdiction Risk'!A1", "REQ - Jurisdiction Risk")</f>
        <v>REQ - Jurisdiction Risk</v>
      </c>
    </row>
    <row r="28" spans="1:8" x14ac:dyDescent="0.25">
      <c r="A28" s="134"/>
      <c r="B28" s="137">
        <v>5</v>
      </c>
      <c r="C28" s="149" t="str">
        <f>HYPERLINK("#'REQ - Interface Risk'!A1", "REQ - Interface Risk")</f>
        <v>REQ - Interface Risk</v>
      </c>
    </row>
    <row r="29" spans="1:8" x14ac:dyDescent="0.25">
      <c r="A29" s="134"/>
      <c r="B29" s="137">
        <v>6</v>
      </c>
      <c r="C29" s="163" t="str">
        <f>HYPERLINK("#'REQ - Controls'!A1", "REQ - Controls")</f>
        <v>REQ - Controls</v>
      </c>
    </row>
    <row r="30" spans="1:8" x14ac:dyDescent="0.25">
      <c r="A30" s="10"/>
      <c r="B30" s="137"/>
      <c r="C30" s="149"/>
    </row>
    <row r="31" spans="1:8" x14ac:dyDescent="0.25">
      <c r="A31" s="139" t="s">
        <v>1142</v>
      </c>
      <c r="B31" s="137"/>
      <c r="C31" s="138"/>
    </row>
    <row r="32" spans="1:8" x14ac:dyDescent="0.25">
      <c r="A32" s="139"/>
      <c r="B32" s="137"/>
      <c r="C32" s="138"/>
    </row>
    <row r="33" spans="1:7" x14ac:dyDescent="0.25">
      <c r="A33" s="139" t="s">
        <v>1219</v>
      </c>
      <c r="B33" s="137"/>
      <c r="C33" s="138"/>
    </row>
    <row r="34" spans="1:7" ht="15.75" customHeight="1" thickBot="1" x14ac:dyDescent="0.3">
      <c r="A34" s="38"/>
      <c r="B34" s="38"/>
      <c r="C34" s="38"/>
      <c r="D34" s="38"/>
      <c r="E34" s="38"/>
      <c r="F34" s="38"/>
      <c r="G34" s="38"/>
    </row>
    <row r="35" spans="1:7" x14ac:dyDescent="0.25">
      <c r="A35" s="13"/>
      <c r="B35" s="13"/>
      <c r="C35" s="13"/>
      <c r="D35" s="13"/>
      <c r="E35" s="13"/>
      <c r="F35" s="13"/>
      <c r="G35" s="13"/>
    </row>
    <row r="36" spans="1:7" x14ac:dyDescent="0.25"/>
    <row r="37" spans="1:7" x14ac:dyDescent="0.25"/>
  </sheetData>
  <sheetProtection algorithmName="SHA-512" hashValue="GFT8oy0Uma2GyDklPMmIoQTHM4NnvkT6nHNFscNHQFP8wiSgZYkW7q181uW6e4X/dtT0Gz0oOgPhKVitAGJ9uA==" saltValue="4EOs+6tbC/X6RlRCayWhZA==" spinCount="100000" sheet="1" objects="1" scenarios="1"/>
  <mergeCells count="6">
    <mergeCell ref="A22:G23"/>
    <mergeCell ref="D15:E15"/>
    <mergeCell ref="C4:D4"/>
    <mergeCell ref="C6:D6"/>
    <mergeCell ref="D11:E11"/>
    <mergeCell ref="D13:E13"/>
  </mergeCells>
  <conditionalFormatting sqref="F11">
    <cfRule type="cellIs" dxfId="282" priority="7" operator="equal">
      <formula>"R"</formula>
    </cfRule>
    <cfRule type="cellIs" dxfId="281" priority="8" operator="equal">
      <formula>"G"</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BAA5896F-3CF1-4C93-9A8C-0528EA70A11D}">
          <x14:formula1>
            <xm:f>List_1!$B$2:$B$99980</xm:f>
          </x14:formula1>
          <xm:sqref>D11:E11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D0DEA-CE35-4655-AFF8-57A47D8121E6}">
  <sheetPr codeName="Sheet7">
    <tabColor theme="9" tint="-0.499984740745262"/>
  </sheetPr>
  <dimension ref="A1:BA243"/>
  <sheetViews>
    <sheetView workbookViewId="0">
      <selection activeCell="Z4" sqref="Z4"/>
    </sheetView>
  </sheetViews>
  <sheetFormatPr defaultColWidth="9.140625" defaultRowHeight="15" x14ac:dyDescent="0.25"/>
  <cols>
    <col min="1" max="2" width="24.85546875" style="11" bestFit="1" customWidth="1"/>
    <col min="3" max="3" width="16.5703125" style="11" customWidth="1"/>
    <col min="4" max="6" width="8.28515625" style="11" customWidth="1"/>
    <col min="7" max="7" width="9" style="11" customWidth="1"/>
    <col min="8" max="8" width="16.42578125" style="11" bestFit="1" customWidth="1"/>
    <col min="9" max="9" width="13.42578125" style="11" bestFit="1" customWidth="1"/>
    <col min="10" max="10" width="9.7109375" style="157" customWidth="1"/>
    <col min="11" max="12" width="9.28515625" style="11" customWidth="1"/>
    <col min="13" max="14" width="9" style="11" customWidth="1"/>
    <col min="15" max="16" width="9.140625" style="11"/>
    <col min="17" max="17" width="8.7109375" style="11" customWidth="1"/>
    <col min="18" max="19" width="8.5703125" style="11" customWidth="1"/>
    <col min="20" max="16384" width="9.140625" style="11"/>
  </cols>
  <sheetData>
    <row r="1" spans="1:53" x14ac:dyDescent="0.25">
      <c r="A1" s="11" t="s">
        <v>51</v>
      </c>
      <c r="B1" s="11" t="s">
        <v>316</v>
      </c>
      <c r="C1" s="11" t="s">
        <v>89</v>
      </c>
      <c r="D1" s="11" t="s">
        <v>185</v>
      </c>
      <c r="E1" s="11" t="s">
        <v>135</v>
      </c>
      <c r="F1" s="11" t="s">
        <v>911</v>
      </c>
      <c r="G1" s="11" t="s">
        <v>57</v>
      </c>
      <c r="H1" s="11" t="s">
        <v>58</v>
      </c>
      <c r="I1" s="11" t="s">
        <v>59</v>
      </c>
      <c r="J1" s="157" t="s">
        <v>62</v>
      </c>
      <c r="K1" s="11" t="s">
        <v>64</v>
      </c>
      <c r="L1" s="11" t="s">
        <v>68</v>
      </c>
      <c r="M1" s="11" t="s">
        <v>94</v>
      </c>
      <c r="N1" s="11" t="s">
        <v>98</v>
      </c>
      <c r="O1" s="11" t="s">
        <v>185</v>
      </c>
      <c r="P1" s="11" t="s">
        <v>306</v>
      </c>
      <c r="Q1" s="11" t="s">
        <v>105</v>
      </c>
      <c r="R1" s="11" t="s">
        <v>110</v>
      </c>
      <c r="S1" s="11" t="s">
        <v>111</v>
      </c>
      <c r="T1" s="11" t="s">
        <v>115</v>
      </c>
      <c r="U1" s="11" t="s">
        <v>116</v>
      </c>
      <c r="V1" s="11" t="s">
        <v>117</v>
      </c>
      <c r="W1" s="11" t="s">
        <v>118</v>
      </c>
      <c r="X1" s="11" t="s">
        <v>138</v>
      </c>
      <c r="Y1" s="11" t="s">
        <v>139</v>
      </c>
      <c r="Z1" s="11" t="s">
        <v>140</v>
      </c>
      <c r="AA1" s="11" t="s">
        <v>152</v>
      </c>
      <c r="AB1" s="11" t="s">
        <v>185</v>
      </c>
      <c r="AC1" s="11" t="s">
        <v>158</v>
      </c>
      <c r="AD1" s="11" t="s">
        <v>163</v>
      </c>
      <c r="AE1" s="11" t="s">
        <v>165</v>
      </c>
      <c r="AF1" s="11" t="s">
        <v>174</v>
      </c>
      <c r="AG1" s="11" t="s">
        <v>185</v>
      </c>
      <c r="AH1" s="11" t="s">
        <v>185</v>
      </c>
      <c r="AI1" s="11" t="s">
        <v>213</v>
      </c>
      <c r="AJ1" s="11" t="s">
        <v>218</v>
      </c>
      <c r="AK1" s="11" t="s">
        <v>219</v>
      </c>
      <c r="AL1" s="11" t="s">
        <v>220</v>
      </c>
      <c r="AM1" s="11" t="s">
        <v>225</v>
      </c>
      <c r="AN1" s="11" t="s">
        <v>235</v>
      </c>
      <c r="AO1" s="11" t="s">
        <v>248</v>
      </c>
      <c r="AP1" s="11" t="s">
        <v>574</v>
      </c>
      <c r="AQ1" s="11" t="s">
        <v>575</v>
      </c>
      <c r="AR1" s="11" t="s">
        <v>576</v>
      </c>
      <c r="AS1" s="11" t="s">
        <v>1017</v>
      </c>
      <c r="AT1" s="11" t="s">
        <v>631</v>
      </c>
      <c r="AU1" s="11" t="s">
        <v>741</v>
      </c>
      <c r="AV1" s="11" t="s">
        <v>1166</v>
      </c>
      <c r="AW1" s="11" t="s">
        <v>1166</v>
      </c>
      <c r="AX1" s="11" t="s">
        <v>1204</v>
      </c>
      <c r="AY1" s="11" t="s">
        <v>563</v>
      </c>
      <c r="AZ1" s="202" t="s">
        <v>1311</v>
      </c>
      <c r="BA1" s="202"/>
    </row>
    <row r="2" spans="1:53" x14ac:dyDescent="0.25">
      <c r="A2" s="11" t="s">
        <v>1260</v>
      </c>
      <c r="B2" s="11" t="s">
        <v>317</v>
      </c>
      <c r="C2" s="11" t="s">
        <v>90</v>
      </c>
      <c r="D2" s="11" t="s">
        <v>90</v>
      </c>
      <c r="E2" s="11" t="s">
        <v>135</v>
      </c>
      <c r="F2" s="11" t="s">
        <v>911</v>
      </c>
      <c r="G2" s="11" t="s">
        <v>84</v>
      </c>
      <c r="H2" s="11" t="s">
        <v>1271</v>
      </c>
      <c r="I2" s="11" t="s">
        <v>85</v>
      </c>
      <c r="J2" s="157" t="s">
        <v>254</v>
      </c>
      <c r="K2" s="11" t="s">
        <v>91</v>
      </c>
      <c r="L2" s="11" t="s">
        <v>258</v>
      </c>
      <c r="M2" s="11" t="s">
        <v>261</v>
      </c>
      <c r="N2" s="11" t="s">
        <v>297</v>
      </c>
      <c r="O2" s="11" t="s">
        <v>298</v>
      </c>
      <c r="P2" s="11" t="s">
        <v>90</v>
      </c>
      <c r="Q2" s="11" t="s">
        <v>310</v>
      </c>
      <c r="R2" s="11" t="s">
        <v>90</v>
      </c>
      <c r="S2" s="11" t="s">
        <v>90</v>
      </c>
      <c r="T2" s="11" t="s">
        <v>91</v>
      </c>
      <c r="U2" s="11" t="s">
        <v>122</v>
      </c>
      <c r="V2" s="11" t="s">
        <v>129</v>
      </c>
      <c r="W2" s="11" t="s">
        <v>919</v>
      </c>
      <c r="X2" s="11" t="s">
        <v>147</v>
      </c>
      <c r="Y2" s="11" t="s">
        <v>147</v>
      </c>
      <c r="Z2" s="11" t="s">
        <v>147</v>
      </c>
      <c r="AA2" s="11" t="s">
        <v>147</v>
      </c>
      <c r="AB2" s="11" t="s">
        <v>90</v>
      </c>
      <c r="AC2" s="11" t="s">
        <v>90</v>
      </c>
      <c r="AD2" s="11" t="s">
        <v>90</v>
      </c>
      <c r="AE2" s="11" t="s">
        <v>90</v>
      </c>
      <c r="AF2" s="11" t="s">
        <v>178</v>
      </c>
      <c r="AG2" s="11" t="s">
        <v>90</v>
      </c>
      <c r="AH2" s="11" t="s">
        <v>128</v>
      </c>
      <c r="AI2" s="11" t="s">
        <v>950</v>
      </c>
      <c r="AJ2" s="11" t="s">
        <v>952</v>
      </c>
      <c r="AK2" s="11" t="s">
        <v>310</v>
      </c>
      <c r="AL2" s="11" t="s">
        <v>226</v>
      </c>
      <c r="AM2" s="11" t="s">
        <v>228</v>
      </c>
      <c r="AN2" s="11" t="s">
        <v>90</v>
      </c>
      <c r="AO2" s="11" t="s">
        <v>249</v>
      </c>
      <c r="AP2" s="11" t="s">
        <v>972</v>
      </c>
      <c r="AQ2" s="11" t="s">
        <v>976</v>
      </c>
      <c r="AR2" s="11" t="s">
        <v>981</v>
      </c>
      <c r="AS2" s="11" t="s">
        <v>90</v>
      </c>
      <c r="AT2" s="11" t="s">
        <v>90</v>
      </c>
      <c r="AU2" s="11" t="s">
        <v>1070</v>
      </c>
      <c r="AV2" s="11" t="s">
        <v>91</v>
      </c>
      <c r="AW2" s="11" t="s">
        <v>1171</v>
      </c>
      <c r="AX2" s="11" t="s">
        <v>943</v>
      </c>
      <c r="AY2" s="11" t="s">
        <v>90</v>
      </c>
      <c r="AZ2" s="160" t="s">
        <v>317</v>
      </c>
      <c r="BA2" s="161" t="s">
        <v>1093</v>
      </c>
    </row>
    <row r="3" spans="1:53" x14ac:dyDescent="0.25">
      <c r="B3" s="11" t="s">
        <v>318</v>
      </c>
      <c r="C3" s="11" t="s">
        <v>91</v>
      </c>
      <c r="D3" s="11" t="s">
        <v>91</v>
      </c>
      <c r="G3" s="11" t="s">
        <v>77</v>
      </c>
      <c r="H3" s="11" t="s">
        <v>83</v>
      </c>
      <c r="I3" s="11" t="s">
        <v>86</v>
      </c>
      <c r="J3" s="157" t="s">
        <v>255</v>
      </c>
      <c r="K3" s="11" t="s">
        <v>256</v>
      </c>
      <c r="L3" s="11" t="s">
        <v>259</v>
      </c>
      <c r="M3" s="11" t="s">
        <v>262</v>
      </c>
      <c r="N3" s="11" t="s">
        <v>284</v>
      </c>
      <c r="O3" s="11" t="s">
        <v>299</v>
      </c>
      <c r="P3" s="11" t="s">
        <v>91</v>
      </c>
      <c r="Q3" s="11" t="s">
        <v>286</v>
      </c>
      <c r="R3" s="11" t="s">
        <v>91</v>
      </c>
      <c r="S3" s="11" t="s">
        <v>91</v>
      </c>
      <c r="T3" s="11" t="s">
        <v>567</v>
      </c>
      <c r="U3" s="11" t="s">
        <v>123</v>
      </c>
      <c r="V3" s="11" t="s">
        <v>132</v>
      </c>
      <c r="W3" s="11" t="s">
        <v>920</v>
      </c>
      <c r="X3" s="11" t="s">
        <v>148</v>
      </c>
      <c r="Y3" s="11" t="s">
        <v>148</v>
      </c>
      <c r="Z3" s="11" t="s">
        <v>148</v>
      </c>
      <c r="AA3" s="11" t="s">
        <v>148</v>
      </c>
      <c r="AB3" s="11" t="s">
        <v>175</v>
      </c>
      <c r="AC3" s="11" t="s">
        <v>91</v>
      </c>
      <c r="AD3" s="11" t="s">
        <v>91</v>
      </c>
      <c r="AE3" s="11" t="s">
        <v>175</v>
      </c>
      <c r="AF3" s="11" t="s">
        <v>179</v>
      </c>
      <c r="AG3" s="11" t="s">
        <v>175</v>
      </c>
      <c r="AH3" s="11" t="s">
        <v>193</v>
      </c>
      <c r="AI3" s="11" t="s">
        <v>951</v>
      </c>
      <c r="AJ3" s="11" t="s">
        <v>953</v>
      </c>
      <c r="AK3" s="11" t="s">
        <v>286</v>
      </c>
      <c r="AL3" s="11" t="s">
        <v>1301</v>
      </c>
      <c r="AM3" s="11" t="s">
        <v>229</v>
      </c>
      <c r="AN3" s="11" t="s">
        <v>91</v>
      </c>
      <c r="AO3" s="11" t="s">
        <v>250</v>
      </c>
      <c r="AP3" s="11" t="s">
        <v>973</v>
      </c>
      <c r="AQ3" s="11" t="s">
        <v>977</v>
      </c>
      <c r="AR3" s="11" t="s">
        <v>983</v>
      </c>
      <c r="AS3" s="11" t="s">
        <v>91</v>
      </c>
      <c r="AT3" s="11" t="s">
        <v>91</v>
      </c>
      <c r="AU3" s="11" t="s">
        <v>1071</v>
      </c>
      <c r="AV3" s="11" t="s">
        <v>1167</v>
      </c>
      <c r="AW3" s="11" t="s">
        <v>1172</v>
      </c>
      <c r="AX3" s="11" t="s">
        <v>195</v>
      </c>
      <c r="AY3" s="11" t="s">
        <v>91</v>
      </c>
      <c r="AZ3" s="160" t="s">
        <v>319</v>
      </c>
      <c r="BA3" s="161" t="s">
        <v>1094</v>
      </c>
    </row>
    <row r="4" spans="1:53" x14ac:dyDescent="0.25">
      <c r="B4" s="11" t="s">
        <v>319</v>
      </c>
      <c r="D4" s="11" t="s">
        <v>135</v>
      </c>
      <c r="G4" s="11" t="s">
        <v>78</v>
      </c>
      <c r="H4" s="11" t="s">
        <v>1272</v>
      </c>
      <c r="I4" s="11" t="s">
        <v>87</v>
      </c>
      <c r="J4" s="157" t="s">
        <v>91</v>
      </c>
      <c r="K4" s="11" t="s">
        <v>257</v>
      </c>
      <c r="L4" s="11" t="s">
        <v>1305</v>
      </c>
      <c r="M4" s="11" t="s">
        <v>263</v>
      </c>
      <c r="N4" s="11" t="s">
        <v>285</v>
      </c>
      <c r="O4" s="11" t="s">
        <v>300</v>
      </c>
      <c r="P4" s="11" t="s">
        <v>177</v>
      </c>
      <c r="Q4" s="11" t="s">
        <v>287</v>
      </c>
      <c r="R4" s="11" t="s">
        <v>120</v>
      </c>
      <c r="S4" s="11" t="s">
        <v>121</v>
      </c>
      <c r="T4" s="11" t="s">
        <v>568</v>
      </c>
      <c r="U4" s="11" t="s">
        <v>124</v>
      </c>
      <c r="V4" s="11" t="s">
        <v>133</v>
      </c>
      <c r="W4" s="11" t="s">
        <v>921</v>
      </c>
      <c r="X4" s="11" t="s">
        <v>1287</v>
      </c>
      <c r="Y4" s="11" t="s">
        <v>1287</v>
      </c>
      <c r="Z4" s="11" t="s">
        <v>1287</v>
      </c>
      <c r="AA4" s="11" t="s">
        <v>149</v>
      </c>
      <c r="AB4" s="11" t="s">
        <v>176</v>
      </c>
      <c r="AC4" s="11" t="s">
        <v>933</v>
      </c>
      <c r="AD4" s="11" t="s">
        <v>940</v>
      </c>
      <c r="AE4" s="11" t="s">
        <v>176</v>
      </c>
      <c r="AF4" s="11" t="s">
        <v>180</v>
      </c>
      <c r="AG4" s="11" t="s">
        <v>176</v>
      </c>
      <c r="AH4" s="11" t="s">
        <v>194</v>
      </c>
      <c r="AI4" s="11" t="s">
        <v>1234</v>
      </c>
      <c r="AJ4" s="11" t="s">
        <v>954</v>
      </c>
      <c r="AK4" s="11" t="s">
        <v>287</v>
      </c>
      <c r="AL4" s="11" t="s">
        <v>227</v>
      </c>
      <c r="AM4" s="11" t="s">
        <v>230</v>
      </c>
      <c r="AN4" s="11" t="s">
        <v>237</v>
      </c>
      <c r="AO4" s="11" t="s">
        <v>251</v>
      </c>
      <c r="AP4" s="11" t="s">
        <v>974</v>
      </c>
      <c r="AQ4" s="11" t="s">
        <v>978</v>
      </c>
      <c r="AR4" s="11" t="s">
        <v>984</v>
      </c>
      <c r="AS4" s="11" t="s">
        <v>1018</v>
      </c>
      <c r="AT4" s="11" t="s">
        <v>1021</v>
      </c>
      <c r="AU4" s="11" t="s">
        <v>1256</v>
      </c>
      <c r="AV4" s="11" t="s">
        <v>1168</v>
      </c>
      <c r="AW4" s="11" t="s">
        <v>1173</v>
      </c>
      <c r="AX4" s="11" t="s">
        <v>944</v>
      </c>
      <c r="AY4" s="11" t="s">
        <v>1306</v>
      </c>
      <c r="AZ4" s="160" t="s">
        <v>322</v>
      </c>
      <c r="BA4" s="161" t="s">
        <v>1095</v>
      </c>
    </row>
    <row r="5" spans="1:53" x14ac:dyDescent="0.25">
      <c r="B5" s="11" t="s">
        <v>320</v>
      </c>
      <c r="G5" s="11" t="s">
        <v>81</v>
      </c>
      <c r="H5" s="11" t="s">
        <v>1273</v>
      </c>
      <c r="I5" s="11" t="s">
        <v>88</v>
      </c>
      <c r="L5" s="11" t="s">
        <v>260</v>
      </c>
      <c r="N5" s="11" t="s">
        <v>286</v>
      </c>
      <c r="O5" s="11" t="s">
        <v>301</v>
      </c>
      <c r="Q5" s="11" t="s">
        <v>288</v>
      </c>
      <c r="U5" s="11" t="s">
        <v>125</v>
      </c>
      <c r="V5" s="11" t="s">
        <v>134</v>
      </c>
      <c r="W5" s="11" t="s">
        <v>922</v>
      </c>
      <c r="X5" s="11" t="s">
        <v>149</v>
      </c>
      <c r="Y5" s="11" t="s">
        <v>149</v>
      </c>
      <c r="Z5" s="11" t="s">
        <v>149</v>
      </c>
      <c r="AA5" s="11" t="s">
        <v>150</v>
      </c>
      <c r="AB5" s="11" t="s">
        <v>91</v>
      </c>
      <c r="AE5" s="11" t="s">
        <v>91</v>
      </c>
      <c r="AF5" s="11" t="s">
        <v>181</v>
      </c>
      <c r="AG5" s="11" t="s">
        <v>91</v>
      </c>
      <c r="AH5" s="11" t="s">
        <v>195</v>
      </c>
      <c r="AI5" s="11" t="s">
        <v>91</v>
      </c>
      <c r="AJ5" s="11" t="s">
        <v>955</v>
      </c>
      <c r="AK5" s="11" t="s">
        <v>288</v>
      </c>
      <c r="AL5" s="11" t="s">
        <v>1302</v>
      </c>
      <c r="AP5" s="11" t="s">
        <v>975</v>
      </c>
      <c r="AQ5" s="11" t="s">
        <v>979</v>
      </c>
      <c r="AR5" s="11" t="s">
        <v>982</v>
      </c>
      <c r="AV5" s="11" t="s">
        <v>1169</v>
      </c>
      <c r="AX5" s="11" t="s">
        <v>194</v>
      </c>
      <c r="AZ5" s="160" t="s">
        <v>342</v>
      </c>
      <c r="BA5" s="160" t="s">
        <v>1316</v>
      </c>
    </row>
    <row r="6" spans="1:53" x14ac:dyDescent="0.25">
      <c r="B6" s="11" t="s">
        <v>321</v>
      </c>
      <c r="G6" s="11" t="s">
        <v>82</v>
      </c>
      <c r="H6" s="11" t="s">
        <v>1274</v>
      </c>
      <c r="N6" s="11" t="s">
        <v>287</v>
      </c>
      <c r="O6" s="11" t="s">
        <v>302</v>
      </c>
      <c r="Q6" s="11" t="s">
        <v>125</v>
      </c>
      <c r="U6" s="11" t="s">
        <v>126</v>
      </c>
      <c r="V6" s="11" t="s">
        <v>78</v>
      </c>
      <c r="X6" s="11" t="s">
        <v>150</v>
      </c>
      <c r="Y6" s="11" t="s">
        <v>150</v>
      </c>
      <c r="Z6" s="11" t="s">
        <v>150</v>
      </c>
      <c r="AA6" s="11" t="s">
        <v>151</v>
      </c>
      <c r="AE6" s="11" t="s">
        <v>177</v>
      </c>
      <c r="AF6" s="11" t="s">
        <v>128</v>
      </c>
      <c r="AG6" s="11" t="s">
        <v>186</v>
      </c>
      <c r="AK6" s="11" t="s">
        <v>125</v>
      </c>
      <c r="AL6" s="11" t="s">
        <v>1303</v>
      </c>
      <c r="AQ6" s="11" t="s">
        <v>980</v>
      </c>
      <c r="AV6" s="11" t="s">
        <v>135</v>
      </c>
      <c r="AX6" s="11" t="s">
        <v>193</v>
      </c>
      <c r="AZ6" s="160" t="s">
        <v>349</v>
      </c>
      <c r="BA6" s="161" t="s">
        <v>1096</v>
      </c>
    </row>
    <row r="7" spans="1:53" x14ac:dyDescent="0.25">
      <c r="B7" s="11" t="s">
        <v>322</v>
      </c>
      <c r="G7" s="11" t="s">
        <v>79</v>
      </c>
      <c r="H7" s="11" t="s">
        <v>1275</v>
      </c>
      <c r="N7" s="11" t="s">
        <v>288</v>
      </c>
      <c r="O7" s="11" t="s">
        <v>303</v>
      </c>
      <c r="Q7" s="11" t="s">
        <v>126</v>
      </c>
      <c r="U7" s="11" t="s">
        <v>127</v>
      </c>
      <c r="V7" s="11" t="s">
        <v>131</v>
      </c>
      <c r="X7" s="11" t="s">
        <v>151</v>
      </c>
      <c r="Y7" s="11" t="s">
        <v>151</v>
      </c>
      <c r="Z7" s="11" t="s">
        <v>151</v>
      </c>
      <c r="AK7" s="11" t="s">
        <v>126</v>
      </c>
      <c r="AX7" s="11" t="s">
        <v>128</v>
      </c>
      <c r="AZ7" s="160" t="s">
        <v>350</v>
      </c>
      <c r="BA7" s="161" t="s">
        <v>1097</v>
      </c>
    </row>
    <row r="8" spans="1:53" x14ac:dyDescent="0.25">
      <c r="B8" s="11" t="s">
        <v>323</v>
      </c>
      <c r="H8" s="11" t="s">
        <v>80</v>
      </c>
      <c r="N8" s="11" t="s">
        <v>125</v>
      </c>
      <c r="O8" s="11" t="s">
        <v>304</v>
      </c>
      <c r="Q8" s="11" t="s">
        <v>127</v>
      </c>
      <c r="U8" s="11" t="s">
        <v>128</v>
      </c>
      <c r="V8" s="11" t="s">
        <v>130</v>
      </c>
      <c r="X8" s="11" t="s">
        <v>930</v>
      </c>
      <c r="Y8" s="11" t="s">
        <v>931</v>
      </c>
      <c r="Z8" s="11" t="s">
        <v>932</v>
      </c>
      <c r="AK8" s="11" t="s">
        <v>127</v>
      </c>
      <c r="AZ8" s="160" t="s">
        <v>353</v>
      </c>
      <c r="BA8" s="161" t="s">
        <v>1098</v>
      </c>
    </row>
    <row r="9" spans="1:53" x14ac:dyDescent="0.25">
      <c r="B9" s="11" t="s">
        <v>324</v>
      </c>
      <c r="N9" s="11" t="s">
        <v>126</v>
      </c>
      <c r="Q9" s="11" t="s">
        <v>311</v>
      </c>
      <c r="AZ9" s="160" t="s">
        <v>366</v>
      </c>
      <c r="BA9" s="161" t="s">
        <v>1099</v>
      </c>
    </row>
    <row r="10" spans="1:53" x14ac:dyDescent="0.25">
      <c r="B10" s="11" t="s">
        <v>325</v>
      </c>
      <c r="N10" s="11" t="s">
        <v>127</v>
      </c>
      <c r="AZ10" s="160" t="s">
        <v>369</v>
      </c>
      <c r="BA10" s="161" t="s">
        <v>1091</v>
      </c>
    </row>
    <row r="11" spans="1:53" x14ac:dyDescent="0.25">
      <c r="B11" s="11" t="s">
        <v>326</v>
      </c>
      <c r="AZ11" s="160" t="s">
        <v>408</v>
      </c>
      <c r="BA11" s="161" t="s">
        <v>1100</v>
      </c>
    </row>
    <row r="12" spans="1:53" x14ac:dyDescent="0.25">
      <c r="B12" s="11" t="s">
        <v>327</v>
      </c>
      <c r="AZ12" s="160" t="s">
        <v>417</v>
      </c>
      <c r="BA12" s="161" t="s">
        <v>912</v>
      </c>
    </row>
    <row r="13" spans="1:53" x14ac:dyDescent="0.25">
      <c r="B13" s="11" t="s">
        <v>328</v>
      </c>
      <c r="AZ13" s="160" t="s">
        <v>426</v>
      </c>
      <c r="BA13" s="161" t="s">
        <v>1101</v>
      </c>
    </row>
    <row r="14" spans="1:53" x14ac:dyDescent="0.25">
      <c r="B14" s="11" t="s">
        <v>329</v>
      </c>
      <c r="AZ14" s="160" t="s">
        <v>428</v>
      </c>
      <c r="BA14" s="161" t="s">
        <v>1090</v>
      </c>
    </row>
    <row r="15" spans="1:53" x14ac:dyDescent="0.25">
      <c r="B15" s="11" t="s">
        <v>330</v>
      </c>
      <c r="AZ15" s="160" t="s">
        <v>1312</v>
      </c>
      <c r="BA15" s="161" t="s">
        <v>1317</v>
      </c>
    </row>
    <row r="16" spans="1:53" x14ac:dyDescent="0.25">
      <c r="B16" s="11" t="s">
        <v>331</v>
      </c>
      <c r="AZ16" s="160" t="s">
        <v>434</v>
      </c>
      <c r="BA16" s="161" t="s">
        <v>1102</v>
      </c>
    </row>
    <row r="17" spans="2:53" x14ac:dyDescent="0.25">
      <c r="B17" s="11" t="s">
        <v>332</v>
      </c>
      <c r="AZ17" s="160" t="s">
        <v>447</v>
      </c>
      <c r="BA17" s="161" t="s">
        <v>1103</v>
      </c>
    </row>
    <row r="18" spans="2:53" x14ac:dyDescent="0.25">
      <c r="B18" s="11" t="s">
        <v>333</v>
      </c>
      <c r="AZ18" s="160" t="s">
        <v>457</v>
      </c>
      <c r="BA18" s="161" t="s">
        <v>1315</v>
      </c>
    </row>
    <row r="19" spans="2:53" x14ac:dyDescent="0.25">
      <c r="B19" s="11" t="s">
        <v>334</v>
      </c>
      <c r="AZ19" s="160" t="s">
        <v>461</v>
      </c>
      <c r="BA19" s="161" t="s">
        <v>1104</v>
      </c>
    </row>
    <row r="20" spans="2:53" x14ac:dyDescent="0.25">
      <c r="B20" s="11" t="s">
        <v>335</v>
      </c>
      <c r="AZ20" s="160" t="s">
        <v>462</v>
      </c>
      <c r="BA20" s="161" t="s">
        <v>1105</v>
      </c>
    </row>
    <row r="21" spans="2:53" x14ac:dyDescent="0.25">
      <c r="B21" s="11" t="s">
        <v>336</v>
      </c>
      <c r="AZ21" s="160" t="s">
        <v>463</v>
      </c>
      <c r="BA21" s="161" t="s">
        <v>1106</v>
      </c>
    </row>
    <row r="22" spans="2:53" x14ac:dyDescent="0.25">
      <c r="B22" s="11" t="s">
        <v>337</v>
      </c>
      <c r="AZ22" s="160" t="s">
        <v>465</v>
      </c>
      <c r="BA22" s="161" t="s">
        <v>1318</v>
      </c>
    </row>
    <row r="23" spans="2:53" x14ac:dyDescent="0.25">
      <c r="B23" s="11" t="s">
        <v>338</v>
      </c>
      <c r="AZ23" s="160" t="s">
        <v>472</v>
      </c>
      <c r="BA23" s="161" t="s">
        <v>1107</v>
      </c>
    </row>
    <row r="24" spans="2:53" x14ac:dyDescent="0.25">
      <c r="B24" s="11" t="s">
        <v>339</v>
      </c>
      <c r="AZ24" s="160" t="s">
        <v>1320</v>
      </c>
      <c r="BA24" s="161" t="s">
        <v>1321</v>
      </c>
    </row>
    <row r="25" spans="2:53" x14ac:dyDescent="0.25">
      <c r="B25" s="11" t="s">
        <v>340</v>
      </c>
      <c r="AZ25" s="160" t="s">
        <v>513</v>
      </c>
      <c r="BA25" s="161" t="s">
        <v>1108</v>
      </c>
    </row>
    <row r="26" spans="2:53" x14ac:dyDescent="0.25">
      <c r="B26" s="11" t="s">
        <v>341</v>
      </c>
      <c r="AZ26" s="160" t="s">
        <v>1088</v>
      </c>
      <c r="BA26" s="161" t="s">
        <v>1089</v>
      </c>
    </row>
    <row r="27" spans="2:53" x14ac:dyDescent="0.25">
      <c r="B27" s="11" t="s">
        <v>342</v>
      </c>
      <c r="AZ27" s="160" t="s">
        <v>523</v>
      </c>
      <c r="BA27" s="161" t="s">
        <v>1109</v>
      </c>
    </row>
    <row r="28" spans="2:53" x14ac:dyDescent="0.25">
      <c r="B28" s="11" t="s">
        <v>343</v>
      </c>
      <c r="AZ28" s="160" t="s">
        <v>526</v>
      </c>
      <c r="BA28" s="161" t="s">
        <v>1110</v>
      </c>
    </row>
    <row r="29" spans="2:53" x14ac:dyDescent="0.25">
      <c r="B29" s="11" t="s">
        <v>344</v>
      </c>
      <c r="AZ29" s="160" t="s">
        <v>532</v>
      </c>
      <c r="BA29" s="161" t="s">
        <v>1111</v>
      </c>
    </row>
    <row r="30" spans="2:53" x14ac:dyDescent="0.25">
      <c r="B30" s="11" t="s">
        <v>345</v>
      </c>
      <c r="AZ30" s="160" t="s">
        <v>546</v>
      </c>
      <c r="BA30" s="161" t="s">
        <v>1112</v>
      </c>
    </row>
    <row r="31" spans="2:53" x14ac:dyDescent="0.25">
      <c r="B31" s="11" t="s">
        <v>346</v>
      </c>
      <c r="AZ31" s="160" t="s">
        <v>547</v>
      </c>
      <c r="BA31" s="161" t="s">
        <v>1113</v>
      </c>
    </row>
    <row r="32" spans="2:53" x14ac:dyDescent="0.25">
      <c r="B32" s="11" t="s">
        <v>347</v>
      </c>
      <c r="AZ32" s="160" t="s">
        <v>1313</v>
      </c>
      <c r="BA32" s="161" t="s">
        <v>1114</v>
      </c>
    </row>
    <row r="33" spans="2:53" x14ac:dyDescent="0.25">
      <c r="B33" s="11" t="s">
        <v>348</v>
      </c>
      <c r="AZ33" s="160" t="s">
        <v>1314</v>
      </c>
      <c r="BA33" s="161" t="s">
        <v>1319</v>
      </c>
    </row>
    <row r="34" spans="2:53" x14ac:dyDescent="0.25">
      <c r="B34" s="11" t="s">
        <v>349</v>
      </c>
      <c r="AZ34" s="160" t="s">
        <v>553</v>
      </c>
      <c r="BA34" s="161" t="s">
        <v>1115</v>
      </c>
    </row>
    <row r="35" spans="2:53" x14ac:dyDescent="0.25">
      <c r="B35" s="11" t="s">
        <v>350</v>
      </c>
    </row>
    <row r="36" spans="2:53" x14ac:dyDescent="0.25">
      <c r="B36" s="11" t="s">
        <v>351</v>
      </c>
    </row>
    <row r="37" spans="2:53" x14ac:dyDescent="0.25">
      <c r="B37" s="11" t="s">
        <v>352</v>
      </c>
    </row>
    <row r="38" spans="2:53" x14ac:dyDescent="0.25">
      <c r="B38" s="11" t="s">
        <v>353</v>
      </c>
    </row>
    <row r="39" spans="2:53" x14ac:dyDescent="0.25">
      <c r="B39" s="11" t="s">
        <v>354</v>
      </c>
    </row>
    <row r="40" spans="2:53" x14ac:dyDescent="0.25">
      <c r="B40" s="11" t="s">
        <v>355</v>
      </c>
    </row>
    <row r="41" spans="2:53" x14ac:dyDescent="0.25">
      <c r="B41" s="11" t="s">
        <v>356</v>
      </c>
    </row>
    <row r="42" spans="2:53" x14ac:dyDescent="0.25">
      <c r="B42" s="11" t="s">
        <v>357</v>
      </c>
    </row>
    <row r="43" spans="2:53" x14ac:dyDescent="0.25">
      <c r="B43" s="11" t="s">
        <v>358</v>
      </c>
    </row>
    <row r="44" spans="2:53" x14ac:dyDescent="0.25">
      <c r="B44" s="11" t="s">
        <v>359</v>
      </c>
    </row>
    <row r="45" spans="2:53" x14ac:dyDescent="0.25">
      <c r="B45" s="11" t="s">
        <v>360</v>
      </c>
    </row>
    <row r="46" spans="2:53" x14ac:dyDescent="0.25">
      <c r="B46" s="11" t="s">
        <v>361</v>
      </c>
    </row>
    <row r="47" spans="2:53" x14ac:dyDescent="0.25">
      <c r="B47" s="11" t="s">
        <v>362</v>
      </c>
    </row>
    <row r="48" spans="2:53" x14ac:dyDescent="0.25">
      <c r="B48" s="11" t="s">
        <v>363</v>
      </c>
    </row>
    <row r="49" spans="2:2" x14ac:dyDescent="0.25">
      <c r="B49" s="11" t="s">
        <v>364</v>
      </c>
    </row>
    <row r="50" spans="2:2" x14ac:dyDescent="0.25">
      <c r="B50" s="11" t="s">
        <v>365</v>
      </c>
    </row>
    <row r="51" spans="2:2" x14ac:dyDescent="0.25">
      <c r="B51" s="11" t="s">
        <v>366</v>
      </c>
    </row>
    <row r="52" spans="2:2" x14ac:dyDescent="0.25">
      <c r="B52" s="11" t="s">
        <v>367</v>
      </c>
    </row>
    <row r="53" spans="2:2" x14ac:dyDescent="0.25">
      <c r="B53" s="11" t="s">
        <v>368</v>
      </c>
    </row>
    <row r="54" spans="2:2" x14ac:dyDescent="0.25">
      <c r="B54" s="11" t="s">
        <v>369</v>
      </c>
    </row>
    <row r="55" spans="2:2" x14ac:dyDescent="0.25">
      <c r="B55" s="11" t="s">
        <v>370</v>
      </c>
    </row>
    <row r="56" spans="2:2" x14ac:dyDescent="0.25">
      <c r="B56" s="11" t="s">
        <v>371</v>
      </c>
    </row>
    <row r="57" spans="2:2" x14ac:dyDescent="0.25">
      <c r="B57" s="11" t="s">
        <v>372</v>
      </c>
    </row>
    <row r="58" spans="2:2" x14ac:dyDescent="0.25">
      <c r="B58" s="11" t="s">
        <v>373</v>
      </c>
    </row>
    <row r="59" spans="2:2" x14ac:dyDescent="0.25">
      <c r="B59" s="11" t="s">
        <v>374</v>
      </c>
    </row>
    <row r="60" spans="2:2" x14ac:dyDescent="0.25">
      <c r="B60" s="11" t="s">
        <v>375</v>
      </c>
    </row>
    <row r="61" spans="2:2" x14ac:dyDescent="0.25">
      <c r="B61" s="11" t="s">
        <v>376</v>
      </c>
    </row>
    <row r="62" spans="2:2" x14ac:dyDescent="0.25">
      <c r="B62" s="11" t="s">
        <v>377</v>
      </c>
    </row>
    <row r="63" spans="2:2" x14ac:dyDescent="0.25">
      <c r="B63" s="11" t="s">
        <v>378</v>
      </c>
    </row>
    <row r="64" spans="2:2" x14ac:dyDescent="0.25">
      <c r="B64" s="11" t="s">
        <v>379</v>
      </c>
    </row>
    <row r="65" spans="2:2" x14ac:dyDescent="0.25">
      <c r="B65" s="11" t="s">
        <v>380</v>
      </c>
    </row>
    <row r="66" spans="2:2" x14ac:dyDescent="0.25">
      <c r="B66" s="11" t="s">
        <v>381</v>
      </c>
    </row>
    <row r="67" spans="2:2" x14ac:dyDescent="0.25">
      <c r="B67" s="11" t="s">
        <v>382</v>
      </c>
    </row>
    <row r="68" spans="2:2" x14ac:dyDescent="0.25">
      <c r="B68" s="11" t="s">
        <v>383</v>
      </c>
    </row>
    <row r="69" spans="2:2" x14ac:dyDescent="0.25">
      <c r="B69" s="11" t="s">
        <v>384</v>
      </c>
    </row>
    <row r="70" spans="2:2" x14ac:dyDescent="0.25">
      <c r="B70" s="11" t="s">
        <v>385</v>
      </c>
    </row>
    <row r="71" spans="2:2" x14ac:dyDescent="0.25">
      <c r="B71" s="11" t="s">
        <v>386</v>
      </c>
    </row>
    <row r="72" spans="2:2" x14ac:dyDescent="0.25">
      <c r="B72" s="11" t="s">
        <v>387</v>
      </c>
    </row>
    <row r="73" spans="2:2" x14ac:dyDescent="0.25">
      <c r="B73" s="11" t="s">
        <v>388</v>
      </c>
    </row>
    <row r="74" spans="2:2" x14ac:dyDescent="0.25">
      <c r="B74" s="11" t="s">
        <v>389</v>
      </c>
    </row>
    <row r="75" spans="2:2" x14ac:dyDescent="0.25">
      <c r="B75" s="11" t="s">
        <v>390</v>
      </c>
    </row>
    <row r="76" spans="2:2" x14ac:dyDescent="0.25">
      <c r="B76" s="11" t="s">
        <v>391</v>
      </c>
    </row>
    <row r="77" spans="2:2" x14ac:dyDescent="0.25">
      <c r="B77" s="11" t="s">
        <v>392</v>
      </c>
    </row>
    <row r="78" spans="2:2" x14ac:dyDescent="0.25">
      <c r="B78" s="11" t="s">
        <v>393</v>
      </c>
    </row>
    <row r="79" spans="2:2" x14ac:dyDescent="0.25">
      <c r="B79" s="11" t="s">
        <v>394</v>
      </c>
    </row>
    <row r="80" spans="2:2" x14ac:dyDescent="0.25">
      <c r="B80" s="11" t="s">
        <v>395</v>
      </c>
    </row>
    <row r="81" spans="2:2" x14ac:dyDescent="0.25">
      <c r="B81" s="11" t="s">
        <v>396</v>
      </c>
    </row>
    <row r="82" spans="2:2" x14ac:dyDescent="0.25">
      <c r="B82" s="11" t="s">
        <v>397</v>
      </c>
    </row>
    <row r="83" spans="2:2" x14ac:dyDescent="0.25">
      <c r="B83" s="11" t="s">
        <v>398</v>
      </c>
    </row>
    <row r="84" spans="2:2" x14ac:dyDescent="0.25">
      <c r="B84" s="11" t="s">
        <v>399</v>
      </c>
    </row>
    <row r="85" spans="2:2" x14ac:dyDescent="0.25">
      <c r="B85" s="11" t="s">
        <v>400</v>
      </c>
    </row>
    <row r="86" spans="2:2" x14ac:dyDescent="0.25">
      <c r="B86" s="11" t="s">
        <v>401</v>
      </c>
    </row>
    <row r="87" spans="2:2" x14ac:dyDescent="0.25">
      <c r="B87" s="11" t="s">
        <v>402</v>
      </c>
    </row>
    <row r="88" spans="2:2" x14ac:dyDescent="0.25">
      <c r="B88" s="11" t="s">
        <v>403</v>
      </c>
    </row>
    <row r="89" spans="2:2" x14ac:dyDescent="0.25">
      <c r="B89" s="11" t="s">
        <v>404</v>
      </c>
    </row>
    <row r="90" spans="2:2" x14ac:dyDescent="0.25">
      <c r="B90" s="11" t="s">
        <v>405</v>
      </c>
    </row>
    <row r="91" spans="2:2" x14ac:dyDescent="0.25">
      <c r="B91" s="11" t="s">
        <v>406</v>
      </c>
    </row>
    <row r="92" spans="2:2" x14ac:dyDescent="0.25">
      <c r="B92" s="11" t="s">
        <v>407</v>
      </c>
    </row>
    <row r="93" spans="2:2" x14ac:dyDescent="0.25">
      <c r="B93" s="11" t="s">
        <v>408</v>
      </c>
    </row>
    <row r="94" spans="2:2" x14ac:dyDescent="0.25">
      <c r="B94" s="11" t="s">
        <v>409</v>
      </c>
    </row>
    <row r="95" spans="2:2" x14ac:dyDescent="0.25">
      <c r="B95" s="11" t="s">
        <v>410</v>
      </c>
    </row>
    <row r="96" spans="2:2" x14ac:dyDescent="0.25">
      <c r="B96" s="11" t="s">
        <v>411</v>
      </c>
    </row>
    <row r="97" spans="2:2" x14ac:dyDescent="0.25">
      <c r="B97" s="11" t="s">
        <v>412</v>
      </c>
    </row>
    <row r="98" spans="2:2" x14ac:dyDescent="0.25">
      <c r="B98" s="11" t="s">
        <v>413</v>
      </c>
    </row>
    <row r="99" spans="2:2" x14ac:dyDescent="0.25">
      <c r="B99" s="11" t="s">
        <v>414</v>
      </c>
    </row>
    <row r="100" spans="2:2" x14ac:dyDescent="0.25">
      <c r="B100" s="11" t="s">
        <v>415</v>
      </c>
    </row>
    <row r="101" spans="2:2" x14ac:dyDescent="0.25">
      <c r="B101" s="11" t="s">
        <v>416</v>
      </c>
    </row>
    <row r="102" spans="2:2" x14ac:dyDescent="0.25">
      <c r="B102" s="11" t="s">
        <v>417</v>
      </c>
    </row>
    <row r="103" spans="2:2" x14ac:dyDescent="0.25">
      <c r="B103" s="11" t="s">
        <v>418</v>
      </c>
    </row>
    <row r="104" spans="2:2" x14ac:dyDescent="0.25">
      <c r="B104" s="11" t="s">
        <v>419</v>
      </c>
    </row>
    <row r="105" spans="2:2" x14ac:dyDescent="0.25">
      <c r="B105" s="11" t="s">
        <v>558</v>
      </c>
    </row>
    <row r="106" spans="2:2" x14ac:dyDescent="0.25">
      <c r="B106" s="11" t="s">
        <v>420</v>
      </c>
    </row>
    <row r="107" spans="2:2" x14ac:dyDescent="0.25">
      <c r="B107" s="11" t="s">
        <v>421</v>
      </c>
    </row>
    <row r="108" spans="2:2" x14ac:dyDescent="0.25">
      <c r="B108" s="11" t="s">
        <v>422</v>
      </c>
    </row>
    <row r="109" spans="2:2" x14ac:dyDescent="0.25">
      <c r="B109" s="11" t="s">
        <v>423</v>
      </c>
    </row>
    <row r="110" spans="2:2" x14ac:dyDescent="0.25">
      <c r="B110" s="11" t="s">
        <v>424</v>
      </c>
    </row>
    <row r="111" spans="2:2" x14ac:dyDescent="0.25">
      <c r="B111" s="11" t="s">
        <v>425</v>
      </c>
    </row>
    <row r="112" spans="2:2" x14ac:dyDescent="0.25">
      <c r="B112" s="11" t="s">
        <v>426</v>
      </c>
    </row>
    <row r="113" spans="2:2" x14ac:dyDescent="0.25">
      <c r="B113" s="11" t="s">
        <v>427</v>
      </c>
    </row>
    <row r="114" spans="2:2" x14ac:dyDescent="0.25">
      <c r="B114" s="11" t="s">
        <v>428</v>
      </c>
    </row>
    <row r="115" spans="2:2" x14ac:dyDescent="0.25">
      <c r="B115" s="11" t="s">
        <v>429</v>
      </c>
    </row>
    <row r="116" spans="2:2" x14ac:dyDescent="0.25">
      <c r="B116" s="11" t="s">
        <v>430</v>
      </c>
    </row>
    <row r="117" spans="2:2" x14ac:dyDescent="0.25">
      <c r="B117" s="11" t="s">
        <v>431</v>
      </c>
    </row>
    <row r="118" spans="2:2" x14ac:dyDescent="0.25">
      <c r="B118" s="11" t="s">
        <v>432</v>
      </c>
    </row>
    <row r="119" spans="2:2" x14ac:dyDescent="0.25">
      <c r="B119" s="11" t="s">
        <v>433</v>
      </c>
    </row>
    <row r="120" spans="2:2" x14ac:dyDescent="0.25">
      <c r="B120" s="11" t="s">
        <v>434</v>
      </c>
    </row>
    <row r="121" spans="2:2" x14ac:dyDescent="0.25">
      <c r="B121" s="11" t="s">
        <v>435</v>
      </c>
    </row>
    <row r="122" spans="2:2" x14ac:dyDescent="0.25">
      <c r="B122" s="11" t="s">
        <v>436</v>
      </c>
    </row>
    <row r="123" spans="2:2" x14ac:dyDescent="0.25">
      <c r="B123" s="11" t="s">
        <v>438</v>
      </c>
    </row>
    <row r="124" spans="2:2" x14ac:dyDescent="0.25">
      <c r="B124" s="11" t="s">
        <v>439</v>
      </c>
    </row>
    <row r="125" spans="2:2" x14ac:dyDescent="0.25">
      <c r="B125" s="11" t="s">
        <v>440</v>
      </c>
    </row>
    <row r="126" spans="2:2" x14ac:dyDescent="0.25">
      <c r="B126" s="11" t="s">
        <v>441</v>
      </c>
    </row>
    <row r="127" spans="2:2" x14ac:dyDescent="0.25">
      <c r="B127" s="11" t="s">
        <v>443</v>
      </c>
    </row>
    <row r="128" spans="2:2" x14ac:dyDescent="0.25">
      <c r="B128" s="11" t="s">
        <v>444</v>
      </c>
    </row>
    <row r="129" spans="2:2" x14ac:dyDescent="0.25">
      <c r="B129" s="11" t="s">
        <v>445</v>
      </c>
    </row>
    <row r="130" spans="2:2" x14ac:dyDescent="0.25">
      <c r="B130" s="11" t="s">
        <v>446</v>
      </c>
    </row>
    <row r="131" spans="2:2" x14ac:dyDescent="0.25">
      <c r="B131" s="11" t="s">
        <v>447</v>
      </c>
    </row>
    <row r="132" spans="2:2" x14ac:dyDescent="0.25">
      <c r="B132" s="11" t="s">
        <v>448</v>
      </c>
    </row>
    <row r="133" spans="2:2" x14ac:dyDescent="0.25">
      <c r="B133" s="11" t="s">
        <v>449</v>
      </c>
    </row>
    <row r="134" spans="2:2" x14ac:dyDescent="0.25">
      <c r="B134" s="11" t="s">
        <v>450</v>
      </c>
    </row>
    <row r="135" spans="2:2" x14ac:dyDescent="0.25">
      <c r="B135" s="11" t="s">
        <v>451</v>
      </c>
    </row>
    <row r="136" spans="2:2" x14ac:dyDescent="0.25">
      <c r="B136" s="11" t="s">
        <v>452</v>
      </c>
    </row>
    <row r="137" spans="2:2" x14ac:dyDescent="0.25">
      <c r="B137" s="11" t="s">
        <v>453</v>
      </c>
    </row>
    <row r="138" spans="2:2" x14ac:dyDescent="0.25">
      <c r="B138" s="11" t="s">
        <v>454</v>
      </c>
    </row>
    <row r="139" spans="2:2" x14ac:dyDescent="0.25">
      <c r="B139" s="11" t="s">
        <v>455</v>
      </c>
    </row>
    <row r="140" spans="2:2" x14ac:dyDescent="0.25">
      <c r="B140" s="11" t="s">
        <v>456</v>
      </c>
    </row>
    <row r="141" spans="2:2" x14ac:dyDescent="0.25">
      <c r="B141" s="11" t="s">
        <v>457</v>
      </c>
    </row>
    <row r="142" spans="2:2" x14ac:dyDescent="0.25">
      <c r="B142" s="11" t="s">
        <v>458</v>
      </c>
    </row>
    <row r="143" spans="2:2" x14ac:dyDescent="0.25">
      <c r="B143" s="11" t="s">
        <v>557</v>
      </c>
    </row>
    <row r="144" spans="2:2" x14ac:dyDescent="0.25">
      <c r="B144" s="11" t="s">
        <v>459</v>
      </c>
    </row>
    <row r="145" spans="2:2" x14ac:dyDescent="0.25">
      <c r="B145" s="11" t="s">
        <v>460</v>
      </c>
    </row>
    <row r="146" spans="2:2" x14ac:dyDescent="0.25">
      <c r="B146" s="11" t="s">
        <v>461</v>
      </c>
    </row>
    <row r="147" spans="2:2" x14ac:dyDescent="0.25">
      <c r="B147" s="11" t="s">
        <v>462</v>
      </c>
    </row>
    <row r="148" spans="2:2" x14ac:dyDescent="0.25">
      <c r="B148" s="11" t="s">
        <v>463</v>
      </c>
    </row>
    <row r="149" spans="2:2" x14ac:dyDescent="0.25">
      <c r="B149" s="11" t="s">
        <v>464</v>
      </c>
    </row>
    <row r="150" spans="2:2" x14ac:dyDescent="0.25">
      <c r="B150" s="11" t="s">
        <v>465</v>
      </c>
    </row>
    <row r="151" spans="2:2" x14ac:dyDescent="0.25">
      <c r="B151" s="11" t="s">
        <v>466</v>
      </c>
    </row>
    <row r="152" spans="2:2" x14ac:dyDescent="0.25">
      <c r="B152" s="11" t="s">
        <v>467</v>
      </c>
    </row>
    <row r="153" spans="2:2" x14ac:dyDescent="0.25">
      <c r="B153" s="11" t="s">
        <v>468</v>
      </c>
    </row>
    <row r="154" spans="2:2" x14ac:dyDescent="0.25">
      <c r="B154" s="11" t="s">
        <v>469</v>
      </c>
    </row>
    <row r="155" spans="2:2" x14ac:dyDescent="0.25">
      <c r="B155" s="11" t="s">
        <v>470</v>
      </c>
    </row>
    <row r="156" spans="2:2" x14ac:dyDescent="0.25">
      <c r="B156" s="11" t="s">
        <v>471</v>
      </c>
    </row>
    <row r="157" spans="2:2" x14ac:dyDescent="0.25">
      <c r="B157" s="11" t="s">
        <v>472</v>
      </c>
    </row>
    <row r="158" spans="2:2" x14ac:dyDescent="0.25">
      <c r="B158" s="11" t="s">
        <v>473</v>
      </c>
    </row>
    <row r="159" spans="2:2" x14ac:dyDescent="0.25">
      <c r="B159" s="11" t="s">
        <v>474</v>
      </c>
    </row>
    <row r="160" spans="2:2" x14ac:dyDescent="0.25">
      <c r="B160" s="11" t="s">
        <v>442</v>
      </c>
    </row>
    <row r="161" spans="2:2" x14ac:dyDescent="0.25">
      <c r="B161" s="11" t="s">
        <v>475</v>
      </c>
    </row>
    <row r="162" spans="2:2" x14ac:dyDescent="0.25">
      <c r="B162" s="11" t="s">
        <v>476</v>
      </c>
    </row>
    <row r="163" spans="2:2" x14ac:dyDescent="0.25">
      <c r="B163" s="11" t="s">
        <v>477</v>
      </c>
    </row>
    <row r="164" spans="2:2" x14ac:dyDescent="0.25">
      <c r="B164" s="11" t="s">
        <v>478</v>
      </c>
    </row>
    <row r="165" spans="2:2" x14ac:dyDescent="0.25">
      <c r="B165" s="11" t="s">
        <v>479</v>
      </c>
    </row>
    <row r="166" spans="2:2" x14ac:dyDescent="0.25">
      <c r="B166" s="11" t="s">
        <v>480</v>
      </c>
    </row>
    <row r="167" spans="2:2" x14ac:dyDescent="0.25">
      <c r="B167" s="11" t="s">
        <v>481</v>
      </c>
    </row>
    <row r="168" spans="2:2" x14ac:dyDescent="0.25">
      <c r="B168" s="11" t="s">
        <v>482</v>
      </c>
    </row>
    <row r="169" spans="2:2" x14ac:dyDescent="0.25">
      <c r="B169" s="11" t="s">
        <v>483</v>
      </c>
    </row>
    <row r="170" spans="2:2" x14ac:dyDescent="0.25">
      <c r="B170" s="11" t="s">
        <v>484</v>
      </c>
    </row>
    <row r="171" spans="2:2" x14ac:dyDescent="0.25">
      <c r="B171" s="11" t="s">
        <v>485</v>
      </c>
    </row>
    <row r="172" spans="2:2" x14ac:dyDescent="0.25">
      <c r="B172" s="11" t="s">
        <v>486</v>
      </c>
    </row>
    <row r="173" spans="2:2" x14ac:dyDescent="0.25">
      <c r="B173" s="11" t="s">
        <v>487</v>
      </c>
    </row>
    <row r="174" spans="2:2" x14ac:dyDescent="0.25">
      <c r="B174" s="11" t="s">
        <v>488</v>
      </c>
    </row>
    <row r="175" spans="2:2" x14ac:dyDescent="0.25">
      <c r="B175" s="11" t="s">
        <v>489</v>
      </c>
    </row>
    <row r="176" spans="2:2" x14ac:dyDescent="0.25">
      <c r="B176" s="11" t="s">
        <v>490</v>
      </c>
    </row>
    <row r="177" spans="2:2" x14ac:dyDescent="0.25">
      <c r="B177" s="11" t="s">
        <v>491</v>
      </c>
    </row>
    <row r="178" spans="2:2" x14ac:dyDescent="0.25">
      <c r="B178" s="11" t="s">
        <v>492</v>
      </c>
    </row>
    <row r="179" spans="2:2" x14ac:dyDescent="0.25">
      <c r="B179" s="11" t="s">
        <v>493</v>
      </c>
    </row>
    <row r="180" spans="2:2" x14ac:dyDescent="0.25">
      <c r="B180" s="11" t="s">
        <v>494</v>
      </c>
    </row>
    <row r="181" spans="2:2" x14ac:dyDescent="0.25">
      <c r="B181" s="11" t="s">
        <v>495</v>
      </c>
    </row>
    <row r="182" spans="2:2" x14ac:dyDescent="0.25">
      <c r="B182" s="11" t="s">
        <v>496</v>
      </c>
    </row>
    <row r="183" spans="2:2" x14ac:dyDescent="0.25">
      <c r="B183" s="11" t="s">
        <v>497</v>
      </c>
    </row>
    <row r="184" spans="2:2" x14ac:dyDescent="0.25">
      <c r="B184" s="11" t="s">
        <v>498</v>
      </c>
    </row>
    <row r="185" spans="2:2" x14ac:dyDescent="0.25">
      <c r="B185" s="11" t="s">
        <v>499</v>
      </c>
    </row>
    <row r="186" spans="2:2" x14ac:dyDescent="0.25">
      <c r="B186" s="11" t="s">
        <v>500</v>
      </c>
    </row>
    <row r="187" spans="2:2" x14ac:dyDescent="0.25">
      <c r="B187" s="11" t="s">
        <v>501</v>
      </c>
    </row>
    <row r="188" spans="2:2" x14ac:dyDescent="0.25">
      <c r="B188" s="11" t="s">
        <v>502</v>
      </c>
    </row>
    <row r="189" spans="2:2" x14ac:dyDescent="0.25">
      <c r="B189" s="11" t="s">
        <v>503</v>
      </c>
    </row>
    <row r="190" spans="2:2" x14ac:dyDescent="0.25">
      <c r="B190" s="11" t="s">
        <v>504</v>
      </c>
    </row>
    <row r="191" spans="2:2" x14ac:dyDescent="0.25">
      <c r="B191" s="11" t="s">
        <v>505</v>
      </c>
    </row>
    <row r="192" spans="2:2" x14ac:dyDescent="0.25">
      <c r="B192" s="11" t="s">
        <v>506</v>
      </c>
    </row>
    <row r="193" spans="2:2" x14ac:dyDescent="0.25">
      <c r="B193" s="11" t="s">
        <v>507</v>
      </c>
    </row>
    <row r="194" spans="2:2" x14ac:dyDescent="0.25">
      <c r="B194" s="11" t="s">
        <v>508</v>
      </c>
    </row>
    <row r="195" spans="2:2" x14ac:dyDescent="0.25">
      <c r="B195" s="11" t="s">
        <v>509</v>
      </c>
    </row>
    <row r="196" spans="2:2" x14ac:dyDescent="0.25">
      <c r="B196" s="11" t="s">
        <v>510</v>
      </c>
    </row>
    <row r="197" spans="2:2" x14ac:dyDescent="0.25">
      <c r="B197" s="11" t="s">
        <v>511</v>
      </c>
    </row>
    <row r="198" spans="2:2" x14ac:dyDescent="0.25">
      <c r="B198" s="11" t="s">
        <v>512</v>
      </c>
    </row>
    <row r="199" spans="2:2" x14ac:dyDescent="0.25">
      <c r="B199" s="11" t="s">
        <v>513</v>
      </c>
    </row>
    <row r="200" spans="2:2" x14ac:dyDescent="0.25">
      <c r="B200" s="11" t="s">
        <v>514</v>
      </c>
    </row>
    <row r="201" spans="2:2" x14ac:dyDescent="0.25">
      <c r="B201" s="11" t="s">
        <v>515</v>
      </c>
    </row>
    <row r="202" spans="2:2" x14ac:dyDescent="0.25">
      <c r="B202" s="11" t="s">
        <v>516</v>
      </c>
    </row>
    <row r="203" spans="2:2" x14ac:dyDescent="0.25">
      <c r="B203" s="11" t="s">
        <v>437</v>
      </c>
    </row>
    <row r="204" spans="2:2" x14ac:dyDescent="0.25">
      <c r="B204" s="11" t="s">
        <v>517</v>
      </c>
    </row>
    <row r="205" spans="2:2" x14ac:dyDescent="0.25">
      <c r="B205" s="11" t="s">
        <v>518</v>
      </c>
    </row>
    <row r="206" spans="2:2" x14ac:dyDescent="0.25">
      <c r="B206" s="11" t="s">
        <v>519</v>
      </c>
    </row>
    <row r="207" spans="2:2" x14ac:dyDescent="0.25">
      <c r="B207" s="11" t="s">
        <v>520</v>
      </c>
    </row>
    <row r="208" spans="2:2" x14ac:dyDescent="0.25">
      <c r="B208" s="11" t="s">
        <v>521</v>
      </c>
    </row>
    <row r="209" spans="2:2" x14ac:dyDescent="0.25">
      <c r="B209" s="11" t="s">
        <v>522</v>
      </c>
    </row>
    <row r="210" spans="2:2" x14ac:dyDescent="0.25">
      <c r="B210" s="11" t="s">
        <v>523</v>
      </c>
    </row>
    <row r="211" spans="2:2" x14ac:dyDescent="0.25">
      <c r="B211" s="11" t="s">
        <v>524</v>
      </c>
    </row>
    <row r="212" spans="2:2" x14ac:dyDescent="0.25">
      <c r="B212" s="11" t="s">
        <v>525</v>
      </c>
    </row>
    <row r="213" spans="2:2" x14ac:dyDescent="0.25">
      <c r="B213" s="11" t="s">
        <v>526</v>
      </c>
    </row>
    <row r="214" spans="2:2" x14ac:dyDescent="0.25">
      <c r="B214" s="11" t="s">
        <v>527</v>
      </c>
    </row>
    <row r="215" spans="2:2" x14ac:dyDescent="0.25">
      <c r="B215" s="11" t="s">
        <v>528</v>
      </c>
    </row>
    <row r="216" spans="2:2" x14ac:dyDescent="0.25">
      <c r="B216" s="11" t="s">
        <v>529</v>
      </c>
    </row>
    <row r="217" spans="2:2" x14ac:dyDescent="0.25">
      <c r="B217" s="11" t="s">
        <v>530</v>
      </c>
    </row>
    <row r="218" spans="2:2" x14ac:dyDescent="0.25">
      <c r="B218" s="11" t="s">
        <v>531</v>
      </c>
    </row>
    <row r="219" spans="2:2" x14ac:dyDescent="0.25">
      <c r="B219" s="11" t="s">
        <v>532</v>
      </c>
    </row>
    <row r="220" spans="2:2" x14ac:dyDescent="0.25">
      <c r="B220" s="11" t="s">
        <v>533</v>
      </c>
    </row>
    <row r="221" spans="2:2" x14ac:dyDescent="0.25">
      <c r="B221" s="11" t="s">
        <v>534</v>
      </c>
    </row>
    <row r="222" spans="2:2" x14ac:dyDescent="0.25">
      <c r="B222" s="11" t="s">
        <v>535</v>
      </c>
    </row>
    <row r="223" spans="2:2" x14ac:dyDescent="0.25">
      <c r="B223" s="11" t="s">
        <v>536</v>
      </c>
    </row>
    <row r="224" spans="2:2" x14ac:dyDescent="0.25">
      <c r="B224" s="11" t="s">
        <v>537</v>
      </c>
    </row>
    <row r="225" spans="2:2" x14ac:dyDescent="0.25">
      <c r="B225" s="11" t="s">
        <v>538</v>
      </c>
    </row>
    <row r="226" spans="2:2" x14ac:dyDescent="0.25">
      <c r="B226" s="11" t="s">
        <v>539</v>
      </c>
    </row>
    <row r="227" spans="2:2" x14ac:dyDescent="0.25">
      <c r="B227" s="11" t="s">
        <v>540</v>
      </c>
    </row>
    <row r="228" spans="2:2" x14ac:dyDescent="0.25">
      <c r="B228" s="11" t="s">
        <v>541</v>
      </c>
    </row>
    <row r="229" spans="2:2" x14ac:dyDescent="0.25">
      <c r="B229" s="11" t="s">
        <v>542</v>
      </c>
    </row>
    <row r="230" spans="2:2" x14ac:dyDescent="0.25">
      <c r="B230" s="11" t="s">
        <v>543</v>
      </c>
    </row>
    <row r="231" spans="2:2" x14ac:dyDescent="0.25">
      <c r="B231" s="11" t="s">
        <v>556</v>
      </c>
    </row>
    <row r="232" spans="2:2" x14ac:dyDescent="0.25">
      <c r="B232" s="11" t="s">
        <v>544</v>
      </c>
    </row>
    <row r="233" spans="2:2" x14ac:dyDescent="0.25">
      <c r="B233" s="11" t="s">
        <v>545</v>
      </c>
    </row>
    <row r="234" spans="2:2" x14ac:dyDescent="0.25">
      <c r="B234" s="11" t="s">
        <v>546</v>
      </c>
    </row>
    <row r="235" spans="2:2" x14ac:dyDescent="0.25">
      <c r="B235" s="11" t="s">
        <v>547</v>
      </c>
    </row>
    <row r="236" spans="2:2" x14ac:dyDescent="0.25">
      <c r="B236" s="11" t="s">
        <v>548</v>
      </c>
    </row>
    <row r="237" spans="2:2" x14ac:dyDescent="0.25">
      <c r="B237" s="11" t="s">
        <v>549</v>
      </c>
    </row>
    <row r="238" spans="2:2" x14ac:dyDescent="0.25">
      <c r="B238" s="11" t="s">
        <v>550</v>
      </c>
    </row>
    <row r="239" spans="2:2" x14ac:dyDescent="0.25">
      <c r="B239" s="11" t="s">
        <v>551</v>
      </c>
    </row>
    <row r="240" spans="2:2" x14ac:dyDescent="0.25">
      <c r="B240" s="11" t="s">
        <v>552</v>
      </c>
    </row>
    <row r="241" spans="2:2" x14ac:dyDescent="0.25">
      <c r="B241" s="11" t="s">
        <v>553</v>
      </c>
    </row>
    <row r="242" spans="2:2" x14ac:dyDescent="0.25">
      <c r="B242" s="11" t="s">
        <v>554</v>
      </c>
    </row>
    <row r="243" spans="2:2" x14ac:dyDescent="0.25">
      <c r="B243" s="11" t="s">
        <v>555</v>
      </c>
    </row>
  </sheetData>
  <sortState xmlns:xlrd2="http://schemas.microsoft.com/office/spreadsheetml/2017/richdata2" ref="B2:B243">
    <sortCondition ref="B2:B243"/>
  </sortState>
  <mergeCells count="1">
    <mergeCell ref="AZ1:BA1"/>
  </mergeCells>
  <phoneticPr fontId="2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262E3-C468-4123-9B15-62AA25F96F1C}">
  <sheetPr codeName="Sheet2">
    <tabColor rgb="FF002B96"/>
  </sheetPr>
  <dimension ref="A1:L21"/>
  <sheetViews>
    <sheetView zoomScaleNormal="100" workbookViewId="0"/>
  </sheetViews>
  <sheetFormatPr defaultColWidth="0" defaultRowHeight="15" customHeight="1" zeroHeight="1" x14ac:dyDescent="0.25"/>
  <cols>
    <col min="1" max="1" width="2.5703125" style="10" customWidth="1"/>
    <col min="2" max="2" width="7" style="10" customWidth="1"/>
    <col min="3" max="3" width="46.5703125" style="10" customWidth="1"/>
    <col min="4" max="4" width="10.5703125" style="10" customWidth="1"/>
    <col min="5" max="5" width="1.42578125" style="10" customWidth="1"/>
    <col min="6" max="6" width="12.5703125" style="10" customWidth="1"/>
    <col min="7" max="9" width="10.42578125" style="10" customWidth="1"/>
    <col min="10" max="10" width="19.5703125" style="10" customWidth="1"/>
    <col min="11" max="11" width="2.42578125" style="10" customWidth="1"/>
    <col min="12" max="12" width="0.5703125" style="22" customWidth="1"/>
    <col min="13" max="16384" width="8.7109375" style="10" hidden="1"/>
  </cols>
  <sheetData>
    <row r="1" spans="1:11" x14ac:dyDescent="0.25">
      <c r="A1" s="150"/>
      <c r="B1" s="150"/>
      <c r="C1" s="150"/>
      <c r="D1" s="150"/>
      <c r="E1" s="150"/>
      <c r="F1" s="150"/>
      <c r="G1" s="150"/>
      <c r="H1" s="150"/>
      <c r="I1" s="150"/>
      <c r="J1" s="150"/>
      <c r="K1" s="150"/>
    </row>
    <row r="2" spans="1:11" ht="18.75" x14ac:dyDescent="0.3">
      <c r="A2" s="150"/>
      <c r="B2" s="150"/>
      <c r="C2" s="150"/>
      <c r="D2" s="140" t="s">
        <v>42</v>
      </c>
      <c r="E2" s="150"/>
      <c r="F2" s="150"/>
      <c r="G2" s="150"/>
      <c r="H2" s="150"/>
      <c r="I2" s="150"/>
      <c r="J2" s="150"/>
      <c r="K2" s="150"/>
    </row>
    <row r="3" spans="1:11" x14ac:dyDescent="0.25">
      <c r="A3" s="150"/>
      <c r="B3" s="150"/>
      <c r="C3" s="150"/>
      <c r="D3" s="150"/>
      <c r="E3" s="150"/>
      <c r="F3" s="150"/>
      <c r="G3" s="150"/>
      <c r="H3" s="150"/>
      <c r="I3" s="150"/>
      <c r="J3" s="150"/>
      <c r="K3" s="141" t="str">
        <f>CoverSheet!A7</f>
        <v>v:1.0</v>
      </c>
    </row>
    <row r="4" spans="1:11" x14ac:dyDescent="0.25"/>
    <row r="5" spans="1:11" ht="22.5" x14ac:dyDescent="0.25">
      <c r="F5" s="142" t="s">
        <v>43</v>
      </c>
      <c r="G5" s="142" t="s">
        <v>44</v>
      </c>
      <c r="H5" s="142" t="s">
        <v>45</v>
      </c>
      <c r="I5" s="142" t="s">
        <v>46</v>
      </c>
    </row>
    <row r="6" spans="1:11" ht="4.3499999999999996" customHeight="1" x14ac:dyDescent="0.25">
      <c r="F6" s="143"/>
      <c r="G6" s="144" t="s">
        <v>50</v>
      </c>
      <c r="H6" s="145" t="s">
        <v>49</v>
      </c>
      <c r="I6" s="146" t="s">
        <v>48</v>
      </c>
    </row>
    <row r="7" spans="1:11" ht="19.5" thickBot="1" x14ac:dyDescent="0.35">
      <c r="B7" s="147" t="s">
        <v>1074</v>
      </c>
      <c r="C7" s="151"/>
      <c r="D7" s="151"/>
      <c r="E7" s="151"/>
      <c r="F7" s="151"/>
      <c r="G7" s="151"/>
      <c r="H7" s="151"/>
      <c r="I7" s="151"/>
      <c r="J7" s="151"/>
    </row>
    <row r="8" spans="1:11" ht="7.35" customHeight="1" x14ac:dyDescent="0.25"/>
    <row r="9" spans="1:11" ht="15.75" x14ac:dyDescent="0.25">
      <c r="B9" s="152"/>
      <c r="C9" s="148" t="s">
        <v>47</v>
      </c>
      <c r="D9" s="153" t="str">
        <f>IF(G9&gt;0,"Error",IF(H9&gt;0,"Check","OK"))</f>
        <v>Error</v>
      </c>
      <c r="E9" s="152" t="str">
        <f>IF(D9="OK","G",IF(D9="Check","Y","R"))</f>
        <v>R</v>
      </c>
      <c r="F9" s="152">
        <f>COUNTA(CoverSheet!F:F)</f>
        <v>1</v>
      </c>
      <c r="G9" s="152">
        <f>COUNTIFS(CoverSheet!$F:$F,G$6)</f>
        <v>1</v>
      </c>
      <c r="H9" s="152">
        <f>COUNTIFS(CoverSheet!$F:$F,H$6)</f>
        <v>0</v>
      </c>
      <c r="I9" s="152">
        <f>COUNTIFS(CoverSheet!$F:$F,I$6)</f>
        <v>0</v>
      </c>
      <c r="J9" s="10" t="str">
        <f>IF(F9=SUM(G9:I9),"","MFSA to review validations")</f>
        <v/>
      </c>
    </row>
    <row r="10" spans="1:11" ht="15.75" x14ac:dyDescent="0.25">
      <c r="B10" s="152"/>
      <c r="C10" s="148" t="s">
        <v>1335</v>
      </c>
      <c r="D10" s="153" t="str">
        <f>IF(G10&gt;0,"Error",IF(H10&gt;0,"Check","OK"))</f>
        <v>Error</v>
      </c>
      <c r="E10" s="152" t="str">
        <f>IF(D10="OK","G",IF(D10="Check","Y","R"))</f>
        <v>R</v>
      </c>
      <c r="F10" s="152">
        <f>COUNTA('REQ-SubjectPersonInformation'!$T:$T)</f>
        <v>2</v>
      </c>
      <c r="G10" s="152">
        <f>COUNTIFS('REQ-SubjectPersonInformation'!$T:$T,G$6)</f>
        <v>2</v>
      </c>
      <c r="H10" s="152">
        <f>COUNTIFS('REQ-SubjectPersonInformation'!$T:$T,H$6)</f>
        <v>0</v>
      </c>
      <c r="I10" s="152">
        <f>COUNTIFS('REQ-SubjectPersonInformation'!$T:$T,I$6)</f>
        <v>0</v>
      </c>
    </row>
    <row r="11" spans="1:11" ht="15.75" x14ac:dyDescent="0.25">
      <c r="B11" s="152"/>
      <c r="C11" s="148" t="s">
        <v>1042</v>
      </c>
      <c r="D11" s="153" t="str">
        <f>IF(G11&gt;0,"Error",IF(H11&gt;0,"Check","OK"))</f>
        <v>Error</v>
      </c>
      <c r="E11" s="152" t="str">
        <f t="shared" ref="E11:E15" si="0">IF(D11="OK","G",IF(D11="Check","Y","R"))</f>
        <v>R</v>
      </c>
      <c r="F11" s="152">
        <f>COUNTA('REQ - Controls'!$T:$T)</f>
        <v>109</v>
      </c>
      <c r="G11" s="152">
        <f>COUNTIFS('REQ - Controls'!$T:$T,G$6)</f>
        <v>51</v>
      </c>
      <c r="H11" s="152">
        <f>COUNTIFS('REQ - Controls'!$T:$T,H$6)</f>
        <v>0</v>
      </c>
      <c r="I11" s="152">
        <f>COUNTIFS('REQ - Controls'!$T:$T,I$6)</f>
        <v>58</v>
      </c>
      <c r="J11" s="10" t="str">
        <f>IF(F11=SUM(G11:I11),"","MFSA to review validations")</f>
        <v/>
      </c>
    </row>
    <row r="12" spans="1:11" ht="15.75" x14ac:dyDescent="0.25">
      <c r="B12" s="153"/>
      <c r="C12" s="148" t="s">
        <v>1043</v>
      </c>
      <c r="D12" s="153" t="str">
        <f t="shared" ref="D12:D15" si="1">IF(G12&gt;0,"Error",IF(H12&gt;0,"Check","OK"))</f>
        <v>Error</v>
      </c>
      <c r="E12" s="152" t="str">
        <f t="shared" si="0"/>
        <v>R</v>
      </c>
      <c r="F12" s="152">
        <f>COUNTA('REQ - Product Risk'!$T:$T)</f>
        <v>131</v>
      </c>
      <c r="G12" s="152">
        <f>COUNTIFS('REQ - Product Risk'!$T:$T,G$6)</f>
        <v>8</v>
      </c>
      <c r="H12" s="152">
        <f>COUNTIFS('REQ - Product Risk'!$T:$T,H$6)</f>
        <v>0</v>
      </c>
      <c r="I12" s="152">
        <f>COUNTIFS('REQ - Product Risk'!$T:$T,I$6)</f>
        <v>123</v>
      </c>
      <c r="J12" s="10" t="str">
        <f>IF(F12=SUM(G12:I12),"","MFSA to review validations")</f>
        <v/>
      </c>
    </row>
    <row r="13" spans="1:11" ht="15.75" x14ac:dyDescent="0.25">
      <c r="B13" s="153"/>
      <c r="C13" s="148" t="s">
        <v>1044</v>
      </c>
      <c r="D13" s="153" t="str">
        <f t="shared" si="1"/>
        <v>Error</v>
      </c>
      <c r="E13" s="152" t="str">
        <f t="shared" si="0"/>
        <v>R</v>
      </c>
      <c r="F13" s="152">
        <f>COUNTA('REQ - Customer Risk'!$T:$T)</f>
        <v>76</v>
      </c>
      <c r="G13" s="152">
        <f>COUNTIFS('REQ - Customer Risk'!$T:$T,G$6)</f>
        <v>20</v>
      </c>
      <c r="H13" s="152">
        <f>COUNTIFS('REQ - Customer Risk'!$T:$T,H$6)</f>
        <v>0</v>
      </c>
      <c r="I13" s="152">
        <f>COUNTIFS('REQ - Customer Risk'!$T:$T,I$6)</f>
        <v>56</v>
      </c>
    </row>
    <row r="14" spans="1:11" ht="15.75" x14ac:dyDescent="0.25">
      <c r="B14" s="153"/>
      <c r="C14" s="148" t="s">
        <v>1045</v>
      </c>
      <c r="D14" s="153" t="str">
        <f t="shared" si="1"/>
        <v>Error</v>
      </c>
      <c r="E14" s="152" t="str">
        <f>IF(D14="OK","G",IF(D14="Check","Y","R"))</f>
        <v>R</v>
      </c>
      <c r="F14" s="152">
        <f>COUNTA('REQ - Jurisdiction Risk'!$T:$T)</f>
        <v>761</v>
      </c>
      <c r="G14" s="152">
        <f>COUNTIFS('REQ - Jurisdiction Risk'!$T:$T,G$6)</f>
        <v>16</v>
      </c>
      <c r="H14" s="152">
        <f>COUNTIFS('REQ - Jurisdiction Risk'!$T:$T,H$6)</f>
        <v>0</v>
      </c>
      <c r="I14" s="152">
        <f>COUNTIFS('REQ - Jurisdiction Risk'!$T:$T,I$6)</f>
        <v>745</v>
      </c>
    </row>
    <row r="15" spans="1:11" ht="15.75" x14ac:dyDescent="0.25">
      <c r="B15" s="153"/>
      <c r="C15" s="148" t="s">
        <v>1046</v>
      </c>
      <c r="D15" s="153" t="str">
        <f t="shared" si="1"/>
        <v>Error</v>
      </c>
      <c r="E15" s="152" t="str">
        <f t="shared" si="0"/>
        <v>R</v>
      </c>
      <c r="F15" s="152">
        <f>COUNTA('REQ - Interface Risk'!$T:$T)</f>
        <v>29</v>
      </c>
      <c r="G15" s="152">
        <f>COUNTIFS('REQ - Interface Risk'!$T:$T,G$6)</f>
        <v>15</v>
      </c>
      <c r="H15" s="152">
        <f>COUNTIFS('REQ - Interface Risk'!$T:$T,H$6)</f>
        <v>0</v>
      </c>
      <c r="I15" s="152">
        <f>COUNTIFS('REQ - Interface Risk'!$T:$T,I$6)</f>
        <v>14</v>
      </c>
    </row>
    <row r="16" spans="1:11" x14ac:dyDescent="0.25"/>
    <row r="17" spans="1:11" x14ac:dyDescent="0.25">
      <c r="D17" s="159"/>
    </row>
    <row r="18" spans="1:11" ht="214.5" customHeight="1" x14ac:dyDescent="0.25">
      <c r="B18" s="174" t="s">
        <v>1257</v>
      </c>
      <c r="C18" s="175"/>
      <c r="D18" s="175"/>
      <c r="E18" s="175"/>
      <c r="F18" s="175"/>
      <c r="G18" s="175"/>
      <c r="H18" s="175"/>
      <c r="I18" s="175"/>
      <c r="J18" s="176"/>
    </row>
    <row r="19" spans="1:11" ht="44.25" customHeight="1" x14ac:dyDescent="0.25">
      <c r="B19" s="177" t="s">
        <v>1258</v>
      </c>
      <c r="C19" s="178"/>
      <c r="D19" s="178"/>
      <c r="E19" s="178"/>
      <c r="F19" s="178"/>
      <c r="G19" s="178"/>
      <c r="H19" s="178"/>
      <c r="I19" s="178"/>
      <c r="J19" s="179"/>
    </row>
    <row r="20" spans="1:11" ht="7.35" customHeight="1" x14ac:dyDescent="0.25"/>
    <row r="21" spans="1:11" ht="7.35" customHeight="1" x14ac:dyDescent="0.25">
      <c r="A21" s="150"/>
      <c r="B21" s="150"/>
      <c r="C21" s="150"/>
      <c r="D21" s="150"/>
      <c r="E21" s="150"/>
      <c r="F21" s="150"/>
      <c r="G21" s="150"/>
      <c r="H21" s="150"/>
      <c r="I21" s="150"/>
      <c r="J21" s="150"/>
      <c r="K21" s="150"/>
    </row>
  </sheetData>
  <sheetProtection algorithmName="SHA-512" hashValue="IYik3WriZaYWYoTv4Nnw8qvktqiijicc+Xu3rhjJuDLB68bPTYV7Rc0pfZUVzcQJEGksVSkGgq9txlZjijom0w==" saltValue="Xj/kQkeK1uAfcthfeL8J5A==" spinCount="100000" sheet="1" objects="1" scenarios="1"/>
  <mergeCells count="2">
    <mergeCell ref="B18:J18"/>
    <mergeCell ref="B19:J19"/>
  </mergeCells>
  <conditionalFormatting sqref="C9:C15">
    <cfRule type="expression" dxfId="280" priority="6">
      <formula>#REF!&gt;1</formula>
    </cfRule>
  </conditionalFormatting>
  <conditionalFormatting sqref="E9:E16">
    <cfRule type="cellIs" dxfId="279" priority="1" operator="equal">
      <formula>"Y"</formula>
    </cfRule>
    <cfRule type="cellIs" dxfId="278" priority="2" operator="equal">
      <formula>"R"</formula>
    </cfRule>
    <cfRule type="cellIs" dxfId="277" priority="3" operator="equal">
      <formula>"G"</formula>
    </cfRule>
  </conditionalFormatting>
  <hyperlinks>
    <hyperlink ref="B19:J19" r:id="rId1" display="This Return should be submitted to the Authority via the LH Portal. Should you have any queries, kindly use the Contact Us page on the LH Portal by selecting &quot;REQ&quot; in the &quot;Enquiry Type&quot; dropdown list." xr:uid="{F6856C3C-A5E7-40F6-A2EC-5F3D3B7A5F10}"/>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E69C5-13CA-4F99-93D3-0799F49ADF92}">
  <sheetPr codeName="Sheet9">
    <tabColor rgb="FF002B96"/>
  </sheetPr>
  <dimension ref="A1:AC35"/>
  <sheetViews>
    <sheetView zoomScaleNormal="100" workbookViewId="0"/>
  </sheetViews>
  <sheetFormatPr defaultColWidth="0" defaultRowHeight="15" zeroHeight="1" x14ac:dyDescent="0.25"/>
  <cols>
    <col min="1" max="1" width="2.42578125" customWidth="1"/>
    <col min="2" max="2" width="4.140625" customWidth="1"/>
    <col min="3" max="3" width="10.85546875" customWidth="1"/>
    <col min="4" max="17" width="8.7109375" customWidth="1"/>
    <col min="18" max="18" width="44.5703125" customWidth="1"/>
    <col min="19" max="19" width="0.5703125" customWidth="1"/>
    <col min="20" max="20" width="2.5703125" customWidth="1"/>
    <col min="21" max="21" width="0.85546875" customWidth="1"/>
    <col min="22" max="29" width="0" hidden="1" customWidth="1"/>
    <col min="30" max="16384" width="8.7109375" hidden="1"/>
  </cols>
  <sheetData>
    <row r="1" spans="1:21" s="10" customFormat="1" ht="15.75" x14ac:dyDescent="0.25">
      <c r="A1" s="6"/>
      <c r="B1" s="19"/>
      <c r="C1" s="19"/>
      <c r="D1" s="20"/>
      <c r="E1" s="20"/>
      <c r="F1" s="20"/>
      <c r="G1" s="20"/>
      <c r="H1" s="20"/>
      <c r="I1" s="20"/>
      <c r="J1" s="20"/>
      <c r="K1" s="20"/>
      <c r="L1" s="20"/>
      <c r="M1" s="20"/>
      <c r="N1" s="20"/>
      <c r="O1" s="20"/>
      <c r="P1" s="21"/>
      <c r="Q1" s="7"/>
      <c r="R1" s="14"/>
      <c r="S1" s="8"/>
      <c r="T1" s="8"/>
      <c r="U1" s="22"/>
    </row>
    <row r="2" spans="1:21" s="10" customFormat="1" ht="18.75" x14ac:dyDescent="0.25">
      <c r="A2" s="8"/>
      <c r="B2" s="19"/>
      <c r="C2" s="19"/>
      <c r="D2" s="20"/>
      <c r="E2" s="180" t="s">
        <v>1381</v>
      </c>
      <c r="F2" s="180"/>
      <c r="G2" s="180"/>
      <c r="H2" s="180"/>
      <c r="I2" s="180"/>
      <c r="J2" s="180"/>
      <c r="K2" s="180"/>
      <c r="L2" s="180"/>
      <c r="M2" s="180"/>
      <c r="N2" s="180"/>
      <c r="O2" s="180"/>
      <c r="P2" s="180"/>
      <c r="Q2" s="180"/>
      <c r="R2" s="180"/>
      <c r="S2" s="8"/>
      <c r="T2" s="8"/>
      <c r="U2" s="22"/>
    </row>
    <row r="3" spans="1:21" s="10" customFormat="1" ht="15.75" x14ac:dyDescent="0.25">
      <c r="A3" s="8"/>
      <c r="B3" s="23"/>
      <c r="C3" s="23"/>
      <c r="D3" s="23"/>
      <c r="E3" s="20"/>
      <c r="F3" s="20"/>
      <c r="G3" s="20"/>
      <c r="H3" s="20"/>
      <c r="I3" s="20"/>
      <c r="J3" s="20"/>
      <c r="K3" s="20"/>
      <c r="L3" s="20"/>
      <c r="M3" s="20"/>
      <c r="N3" s="20"/>
      <c r="O3" s="20"/>
      <c r="P3" s="21"/>
      <c r="Q3" s="8"/>
      <c r="R3" s="24"/>
      <c r="S3" s="9" t="str">
        <f>CoverSheet!A7</f>
        <v>v:1.0</v>
      </c>
      <c r="T3" s="8"/>
      <c r="U3" s="22"/>
    </row>
    <row r="4" spans="1:21" s="10" customFormat="1" x14ac:dyDescent="0.25">
      <c r="B4" s="15"/>
      <c r="C4" s="15"/>
      <c r="D4" s="15"/>
      <c r="E4" s="15"/>
      <c r="F4" s="15"/>
      <c r="G4" s="15"/>
      <c r="H4" s="15"/>
      <c r="I4" s="15"/>
      <c r="J4" s="15"/>
      <c r="K4" s="15"/>
      <c r="L4" s="15"/>
      <c r="M4" s="15"/>
      <c r="N4" s="15"/>
      <c r="O4" s="15"/>
      <c r="P4" s="25"/>
      <c r="R4" s="26"/>
      <c r="U4" s="22"/>
    </row>
    <row r="5" spans="1:21" s="10" customFormat="1" x14ac:dyDescent="0.25">
      <c r="B5" s="15"/>
      <c r="C5" s="15"/>
      <c r="D5" s="15"/>
      <c r="E5" s="27" t="s">
        <v>53</v>
      </c>
      <c r="F5" s="15"/>
      <c r="G5" s="28">
        <f>CoverSheet!D11</f>
        <v>0</v>
      </c>
      <c r="H5" s="15"/>
      <c r="I5" s="15"/>
      <c r="J5" s="15"/>
      <c r="K5" s="15"/>
      <c r="L5" s="15"/>
      <c r="M5" s="15"/>
      <c r="N5" s="15"/>
      <c r="O5" s="15"/>
      <c r="P5" s="25"/>
      <c r="R5" s="70" t="s">
        <v>1116</v>
      </c>
      <c r="T5" s="11" t="str">
        <f>IF(COUNTIF(T6:T15,"R")&gt;0,"R","G")</f>
        <v>R</v>
      </c>
      <c r="U5" s="22"/>
    </row>
    <row r="6" spans="1:21" s="10" customFormat="1" x14ac:dyDescent="0.25">
      <c r="B6" s="15"/>
      <c r="C6" s="15"/>
      <c r="D6" s="15"/>
      <c r="E6" s="27" t="s">
        <v>54</v>
      </c>
      <c r="F6" s="15"/>
      <c r="G6" s="15" t="str">
        <f>CoverSheet!D15</f>
        <v>01/01/2025 - 31/12/2025</v>
      </c>
      <c r="H6" s="15"/>
      <c r="I6" s="15"/>
      <c r="J6" s="15"/>
      <c r="K6" s="15"/>
      <c r="L6" s="15"/>
      <c r="M6" s="15"/>
      <c r="N6" s="15"/>
      <c r="O6" s="15"/>
      <c r="P6" s="25"/>
      <c r="R6" s="26"/>
      <c r="U6" s="22"/>
    </row>
    <row r="7" spans="1:21" s="10" customFormat="1" ht="15.75" thickBot="1" x14ac:dyDescent="0.3">
      <c r="A7" s="29"/>
      <c r="B7" s="30"/>
      <c r="C7" s="30"/>
      <c r="D7" s="31"/>
      <c r="E7" s="31"/>
      <c r="F7" s="31"/>
      <c r="G7" s="31"/>
      <c r="H7" s="31"/>
      <c r="I7" s="31"/>
      <c r="J7" s="31"/>
      <c r="K7" s="31"/>
      <c r="L7" s="31"/>
      <c r="M7" s="31"/>
      <c r="N7" s="31"/>
      <c r="O7" s="31"/>
      <c r="P7" s="32"/>
      <c r="Q7" s="29"/>
      <c r="R7" s="33"/>
      <c r="S7" s="29"/>
      <c r="U7" s="22"/>
    </row>
    <row r="8" spans="1:21" s="10" customFormat="1" ht="15.75" thickTop="1" x14ac:dyDescent="0.25">
      <c r="B8" s="34"/>
      <c r="C8" s="34"/>
      <c r="D8" s="15"/>
      <c r="E8" s="15"/>
      <c r="F8" s="15"/>
      <c r="G8" s="15"/>
      <c r="H8" s="15"/>
      <c r="I8" s="15"/>
      <c r="J8" s="15"/>
      <c r="K8" s="15"/>
      <c r="L8" s="15"/>
      <c r="M8" s="15"/>
      <c r="N8" s="15"/>
      <c r="O8" s="15"/>
      <c r="P8" s="25"/>
      <c r="R8" s="35"/>
      <c r="U8" s="22"/>
    </row>
    <row r="9" spans="1:21" s="10" customFormat="1" x14ac:dyDescent="0.25">
      <c r="B9" s="46" t="s">
        <v>1049</v>
      </c>
      <c r="C9" s="46"/>
      <c r="D9" s="15"/>
      <c r="E9" s="15"/>
      <c r="F9" s="15"/>
      <c r="G9" s="15"/>
      <c r="H9" s="15"/>
      <c r="I9" s="15"/>
      <c r="J9" s="15"/>
      <c r="K9" s="15"/>
      <c r="L9" s="15"/>
      <c r="M9" s="15"/>
      <c r="N9" s="15"/>
      <c r="O9" s="15"/>
      <c r="P9" s="25"/>
      <c r="R9" s="26"/>
      <c r="U9" s="22"/>
    </row>
    <row r="10" spans="1:21" s="10" customFormat="1" x14ac:dyDescent="0.25">
      <c r="B10" s="34"/>
      <c r="C10" s="34"/>
      <c r="D10" s="15"/>
      <c r="E10" s="15"/>
      <c r="F10" s="15"/>
      <c r="G10" s="15"/>
      <c r="H10" s="15"/>
      <c r="I10" s="15"/>
      <c r="J10" s="15"/>
      <c r="K10" s="15"/>
      <c r="L10" s="15"/>
      <c r="M10" s="15"/>
      <c r="N10" s="15"/>
      <c r="O10" s="15"/>
      <c r="P10" s="25"/>
      <c r="R10" s="36"/>
      <c r="U10" s="22"/>
    </row>
    <row r="11" spans="1:21" s="10" customFormat="1" ht="19.5" thickBot="1" x14ac:dyDescent="0.3">
      <c r="A11" s="37"/>
      <c r="B11" s="38" t="s">
        <v>55</v>
      </c>
      <c r="C11" s="38"/>
      <c r="D11" s="39" t="s">
        <v>1332</v>
      </c>
      <c r="E11" s="40"/>
      <c r="F11" s="40"/>
      <c r="G11" s="40"/>
      <c r="H11" s="40"/>
      <c r="I11" s="40"/>
      <c r="J11" s="40"/>
      <c r="K11" s="40"/>
      <c r="L11" s="40"/>
      <c r="M11" s="40"/>
      <c r="N11" s="40"/>
      <c r="O11" s="40"/>
      <c r="P11" s="41"/>
      <c r="Q11" s="37"/>
      <c r="R11" s="42"/>
      <c r="S11" s="37"/>
      <c r="U11" s="22"/>
    </row>
    <row r="12" spans="1:21" s="162" customFormat="1" x14ac:dyDescent="0.25">
      <c r="U12" s="22"/>
    </row>
    <row r="13" spans="1:21" s="162" customFormat="1" ht="133.5" customHeight="1" x14ac:dyDescent="0.25">
      <c r="B13" s="166" t="s">
        <v>1334</v>
      </c>
      <c r="C13" s="15"/>
      <c r="D13" s="181" t="s">
        <v>1333</v>
      </c>
      <c r="E13" s="181"/>
      <c r="F13" s="181"/>
      <c r="G13" s="181"/>
      <c r="H13" s="181"/>
      <c r="I13" s="181"/>
      <c r="J13" s="181"/>
      <c r="K13" s="181"/>
      <c r="L13" s="181"/>
      <c r="M13" s="181"/>
      <c r="N13" s="181"/>
      <c r="O13" s="181"/>
      <c r="P13" s="181"/>
      <c r="R13" s="16"/>
      <c r="T13" s="162" t="str">
        <f>IF(R13&lt;&gt;"","G","R")</f>
        <v>R</v>
      </c>
      <c r="U13" s="22"/>
    </row>
    <row r="14" spans="1:21" s="162" customFormat="1" x14ac:dyDescent="0.25">
      <c r="U14" s="22"/>
    </row>
    <row r="15" spans="1:21" s="10" customFormat="1" ht="6.6" customHeight="1" x14ac:dyDescent="0.25">
      <c r="A15" s="13"/>
      <c r="B15" s="58"/>
      <c r="C15" s="58"/>
      <c r="D15" s="13"/>
      <c r="E15" s="13"/>
      <c r="F15" s="13"/>
      <c r="G15" s="13"/>
      <c r="H15" s="13"/>
      <c r="I15" s="13"/>
      <c r="J15" s="13"/>
      <c r="K15" s="13"/>
      <c r="L15" s="13"/>
      <c r="M15" s="13"/>
      <c r="N15" s="13"/>
      <c r="O15" s="13"/>
      <c r="P15" s="13"/>
      <c r="Q15" s="13"/>
      <c r="R15" s="59"/>
      <c r="S15" s="13"/>
      <c r="T15" s="13"/>
      <c r="U15" s="22"/>
    </row>
    <row r="16" spans="1:21" s="162" customFormat="1" hidden="1" x14ac:dyDescent="0.25"/>
    <row r="17" s="162" customFormat="1" hidden="1" x14ac:dyDescent="0.25"/>
    <row r="18" s="162" customFormat="1" hidden="1" x14ac:dyDescent="0.25"/>
    <row r="19" s="162" customFormat="1" hidden="1" x14ac:dyDescent="0.25"/>
    <row r="20" s="162" customFormat="1" hidden="1" x14ac:dyDescent="0.25"/>
    <row r="21" s="162" customFormat="1" hidden="1" x14ac:dyDescent="0.25"/>
    <row r="22" s="162" customFormat="1" hidden="1" x14ac:dyDescent="0.25"/>
    <row r="23" s="162" customFormat="1" hidden="1" x14ac:dyDescent="0.25"/>
    <row r="24" s="162" customFormat="1" hidden="1" x14ac:dyDescent="0.25"/>
    <row r="25" s="162" customFormat="1" hidden="1" x14ac:dyDescent="0.25"/>
    <row r="26" s="162" customFormat="1" hidden="1" x14ac:dyDescent="0.25"/>
    <row r="27" s="162" customFormat="1" hidden="1" x14ac:dyDescent="0.25"/>
    <row r="28" s="162" customFormat="1" hidden="1" x14ac:dyDescent="0.25"/>
    <row r="29" s="162" customFormat="1" hidden="1" x14ac:dyDescent="0.25"/>
    <row r="30" s="162" customFormat="1" hidden="1" x14ac:dyDescent="0.25"/>
    <row r="31" s="162" customFormat="1" hidden="1" x14ac:dyDescent="0.25"/>
    <row r="32" s="162" customFormat="1" hidden="1" x14ac:dyDescent="0.25"/>
    <row r="33" s="162" customFormat="1" hidden="1" x14ac:dyDescent="0.25"/>
    <row r="34" s="162" customFormat="1" hidden="1" x14ac:dyDescent="0.25"/>
    <row r="35" s="162" customFormat="1" hidden="1" x14ac:dyDescent="0.25"/>
  </sheetData>
  <sheetProtection algorithmName="SHA-512" hashValue="YLwDSzZrQLCVIusfWiG4E0ZhH9RJKrJUh1Q8R6WrIxHPceIfSorJjjKWWa1hUOQ4vk79kKmhhR2voGdjXfCptg==" saltValue="oROzm6bMh/vepdIts7YOCQ==" spinCount="100000" sheet="1" objects="1" scenarios="1"/>
  <mergeCells count="2">
    <mergeCell ref="E2:R2"/>
    <mergeCell ref="D13:P13"/>
  </mergeCells>
  <conditionalFormatting sqref="T1:T11">
    <cfRule type="cellIs" dxfId="276" priority="6" operator="equal">
      <formula>"Y"</formula>
    </cfRule>
    <cfRule type="cellIs" dxfId="275" priority="7" operator="equal">
      <formula>"R"</formula>
    </cfRule>
    <cfRule type="cellIs" dxfId="274" priority="8" operator="equal">
      <formula>"G"</formula>
    </cfRule>
  </conditionalFormatting>
  <conditionalFormatting sqref="T13">
    <cfRule type="cellIs" dxfId="273" priority="4" operator="equal">
      <formula>"R"</formula>
    </cfRule>
    <cfRule type="cellIs" dxfId="272" priority="5" operator="equal">
      <formula>"G"</formula>
    </cfRule>
  </conditionalFormatting>
  <conditionalFormatting sqref="T15">
    <cfRule type="cellIs" dxfId="271" priority="1" operator="equal">
      <formula>"Y"</formula>
    </cfRule>
    <cfRule type="cellIs" dxfId="270" priority="2" operator="equal">
      <formula>"R"</formula>
    </cfRule>
    <cfRule type="cellIs" dxfId="269" priority="3" operator="equal">
      <formula>"G"</formula>
    </cfRule>
  </conditionalFormatting>
  <dataValidations disablePrompts="1" count="1">
    <dataValidation allowBlank="1" showInputMessage="1" showErrorMessage="1" prompt="This means that the user made use of formulas in the sheet which resulted in an error message. Kindly make sure that these issues are addressed before submitting the template." sqref="R5" xr:uid="{B164AD00-10B4-4C48-8F2C-A2AF68B6DC9B}"/>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47221-F754-4E61-8E1F-49EE3ADBEB89}">
  <sheetPr codeName="Sheet6">
    <tabColor rgb="FF002B96"/>
  </sheetPr>
  <dimension ref="A1:AC312"/>
  <sheetViews>
    <sheetView zoomScaleNormal="100" workbookViewId="0"/>
  </sheetViews>
  <sheetFormatPr defaultColWidth="0" defaultRowHeight="15" zeroHeight="1" x14ac:dyDescent="0.25"/>
  <cols>
    <col min="1" max="1" width="2" style="10" customWidth="1"/>
    <col min="2" max="2" width="14.28515625" style="15" customWidth="1"/>
    <col min="3" max="3" width="1.140625" style="15" customWidth="1"/>
    <col min="4" max="4" width="4.7109375" style="34" customWidth="1"/>
    <col min="5" max="5" width="19.28515625" style="34" customWidth="1"/>
    <col min="6" max="6" width="0.5703125" style="34" customWidth="1"/>
    <col min="7" max="7" width="18.7109375" style="34" customWidth="1"/>
    <col min="8" max="8" width="1.140625" style="34" customWidth="1"/>
    <col min="9" max="9" width="4.7109375" style="34" customWidth="1"/>
    <col min="10" max="10" width="19.28515625" style="34" customWidth="1"/>
    <col min="11" max="11" width="18.7109375" style="34" customWidth="1"/>
    <col min="12" max="12" width="1.140625" style="34" customWidth="1"/>
    <col min="13" max="13" width="4.7109375" style="34" customWidth="1"/>
    <col min="14" max="14" width="19.28515625" style="34" customWidth="1"/>
    <col min="15" max="15" width="18.7109375" style="34" customWidth="1"/>
    <col min="16" max="16" width="9.140625" style="43" customWidth="1"/>
    <col min="17" max="17" width="0.5703125" style="10" customWidth="1"/>
    <col min="18" max="18" width="39.28515625" style="26" bestFit="1" customWidth="1"/>
    <col min="19" max="19" width="0.7109375" style="10" customWidth="1"/>
    <col min="20" max="20" width="2.7109375" style="10" customWidth="1"/>
    <col min="21" max="21" width="0.5703125" style="22" customWidth="1"/>
    <col min="22" max="29" width="0" style="10" hidden="1" customWidth="1"/>
    <col min="30" max="16384" width="9.140625" style="10" hidden="1"/>
  </cols>
  <sheetData>
    <row r="1" spans="1:20" ht="15.75" x14ac:dyDescent="0.25">
      <c r="A1" s="6"/>
      <c r="B1" s="19"/>
      <c r="C1" s="19"/>
      <c r="D1" s="20"/>
      <c r="E1" s="20"/>
      <c r="F1" s="20"/>
      <c r="G1" s="20"/>
      <c r="H1" s="20"/>
      <c r="I1" s="20"/>
      <c r="J1" s="20"/>
      <c r="K1" s="20"/>
      <c r="L1" s="20"/>
      <c r="M1" s="20"/>
      <c r="N1" s="20"/>
      <c r="O1" s="20"/>
      <c r="P1" s="21"/>
      <c r="Q1" s="7"/>
      <c r="R1" s="14"/>
      <c r="S1" s="8"/>
      <c r="T1" s="8"/>
    </row>
    <row r="2" spans="1:20" ht="18.75" x14ac:dyDescent="0.25">
      <c r="A2" s="8"/>
      <c r="B2" s="19"/>
      <c r="C2" s="19"/>
      <c r="D2" s="20"/>
      <c r="E2" s="180" t="s">
        <v>1014</v>
      </c>
      <c r="F2" s="180"/>
      <c r="G2" s="180"/>
      <c r="H2" s="180"/>
      <c r="I2" s="180"/>
      <c r="J2" s="180"/>
      <c r="K2" s="180"/>
      <c r="L2" s="180"/>
      <c r="M2" s="180"/>
      <c r="N2" s="180"/>
      <c r="O2" s="180"/>
      <c r="P2" s="180"/>
      <c r="Q2" s="180"/>
      <c r="R2" s="180"/>
      <c r="S2" s="8"/>
      <c r="T2" s="8"/>
    </row>
    <row r="3" spans="1:20" ht="15.75" x14ac:dyDescent="0.25">
      <c r="A3" s="8"/>
      <c r="B3" s="23"/>
      <c r="C3" s="23"/>
      <c r="D3" s="23"/>
      <c r="E3" s="20"/>
      <c r="F3" s="20"/>
      <c r="G3" s="20"/>
      <c r="H3" s="20"/>
      <c r="I3" s="20"/>
      <c r="J3" s="20"/>
      <c r="K3" s="20"/>
      <c r="L3" s="20"/>
      <c r="M3" s="20"/>
      <c r="N3" s="20"/>
      <c r="O3" s="20"/>
      <c r="P3" s="21"/>
      <c r="Q3" s="8"/>
      <c r="R3" s="24"/>
      <c r="S3" s="9" t="str">
        <f>CoverSheet!A7</f>
        <v>v:1.0</v>
      </c>
      <c r="T3" s="8"/>
    </row>
    <row r="4" spans="1:20" x14ac:dyDescent="0.25">
      <c r="D4" s="15"/>
      <c r="E4" s="15"/>
      <c r="F4" s="15"/>
      <c r="G4" s="15"/>
      <c r="H4" s="15"/>
      <c r="I4" s="15"/>
      <c r="J4" s="15"/>
      <c r="K4" s="15"/>
      <c r="L4" s="15"/>
      <c r="M4" s="15"/>
      <c r="N4" s="15"/>
      <c r="O4" s="15"/>
      <c r="P4" s="25"/>
    </row>
    <row r="5" spans="1:20" x14ac:dyDescent="0.25">
      <c r="D5" s="15"/>
      <c r="E5" s="27" t="s">
        <v>53</v>
      </c>
      <c r="F5" s="15"/>
      <c r="G5" s="28">
        <f>CoverSheet!D11</f>
        <v>0</v>
      </c>
      <c r="H5" s="15"/>
      <c r="I5" s="15"/>
      <c r="J5" s="15"/>
      <c r="K5" s="15"/>
      <c r="L5" s="15"/>
      <c r="M5" s="15"/>
      <c r="N5" s="15"/>
      <c r="O5" s="15"/>
      <c r="P5" s="25"/>
      <c r="R5" s="70" t="s">
        <v>1116</v>
      </c>
      <c r="T5" s="11" t="str">
        <f>IF(COUNTIF(T6:T312,"R")&gt;0,"R","G")</f>
        <v>R</v>
      </c>
    </row>
    <row r="6" spans="1:20" x14ac:dyDescent="0.25">
      <c r="D6" s="15"/>
      <c r="E6" s="27" t="s">
        <v>54</v>
      </c>
      <c r="F6" s="15"/>
      <c r="G6" s="15" t="str">
        <f>CoverSheet!D15</f>
        <v>01/01/2025 - 31/12/2025</v>
      </c>
      <c r="H6" s="15"/>
      <c r="I6" s="15"/>
      <c r="J6" s="15"/>
      <c r="K6" s="15"/>
      <c r="L6" s="15"/>
      <c r="M6" s="15"/>
      <c r="N6" s="15"/>
      <c r="O6" s="15"/>
      <c r="P6" s="25"/>
    </row>
    <row r="7" spans="1:20" ht="15.75" thickBot="1" x14ac:dyDescent="0.3">
      <c r="A7" s="29"/>
      <c r="B7" s="30"/>
      <c r="C7" s="30"/>
      <c r="D7" s="31"/>
      <c r="E7" s="31"/>
      <c r="F7" s="31"/>
      <c r="G7" s="31"/>
      <c r="H7" s="31"/>
      <c r="I7" s="31"/>
      <c r="J7" s="31"/>
      <c r="K7" s="31"/>
      <c r="L7" s="31"/>
      <c r="M7" s="31"/>
      <c r="N7" s="31"/>
      <c r="O7" s="31"/>
      <c r="P7" s="32"/>
      <c r="Q7" s="29"/>
      <c r="R7" s="33"/>
      <c r="S7" s="29"/>
    </row>
    <row r="8" spans="1:20" ht="15.75" thickTop="1" x14ac:dyDescent="0.25">
      <c r="B8" s="34"/>
      <c r="C8" s="34"/>
      <c r="D8" s="15"/>
      <c r="E8" s="15"/>
      <c r="F8" s="15"/>
      <c r="G8" s="15"/>
      <c r="H8" s="15"/>
      <c r="I8" s="15"/>
      <c r="J8" s="15"/>
      <c r="K8" s="15"/>
      <c r="L8" s="15"/>
      <c r="M8" s="15"/>
      <c r="N8" s="15"/>
      <c r="O8" s="15"/>
      <c r="P8" s="25"/>
      <c r="R8" s="35"/>
    </row>
    <row r="9" spans="1:20" x14ac:dyDescent="0.25">
      <c r="B9" s="46" t="s">
        <v>1049</v>
      </c>
      <c r="C9" s="46"/>
      <c r="D9" s="15"/>
      <c r="E9" s="15"/>
      <c r="F9" s="15"/>
      <c r="G9" s="15"/>
      <c r="H9" s="15"/>
      <c r="I9" s="15"/>
      <c r="J9" s="15"/>
      <c r="K9" s="15"/>
      <c r="L9" s="15"/>
      <c r="M9" s="15"/>
      <c r="N9" s="15"/>
      <c r="O9" s="15"/>
      <c r="P9" s="25"/>
    </row>
    <row r="10" spans="1:20" x14ac:dyDescent="0.25">
      <c r="B10" s="34"/>
      <c r="C10" s="34"/>
      <c r="D10" s="15"/>
      <c r="E10" s="15"/>
      <c r="F10" s="15"/>
      <c r="G10" s="15"/>
      <c r="H10" s="15"/>
      <c r="I10" s="15"/>
      <c r="J10" s="15"/>
      <c r="K10" s="15"/>
      <c r="L10" s="15"/>
      <c r="M10" s="15"/>
      <c r="N10" s="15"/>
      <c r="O10" s="15"/>
      <c r="P10" s="25"/>
      <c r="R10" s="36"/>
    </row>
    <row r="11" spans="1:20" ht="19.5" thickBot="1" x14ac:dyDescent="0.3">
      <c r="A11" s="37"/>
      <c r="B11" s="38" t="s">
        <v>55</v>
      </c>
      <c r="C11" s="38"/>
      <c r="D11" s="39" t="s">
        <v>956</v>
      </c>
      <c r="E11" s="40"/>
      <c r="F11" s="40"/>
      <c r="G11" s="40"/>
      <c r="H11" s="40"/>
      <c r="I11" s="40"/>
      <c r="J11" s="40"/>
      <c r="K11" s="40"/>
      <c r="L11" s="40"/>
      <c r="M11" s="40"/>
      <c r="N11" s="40"/>
      <c r="O11" s="40"/>
      <c r="P11" s="41"/>
      <c r="Q11" s="37"/>
      <c r="R11" s="42"/>
      <c r="S11" s="37"/>
    </row>
    <row r="12" spans="1:20" x14ac:dyDescent="0.25"/>
    <row r="13" spans="1:20" ht="27.6" customHeight="1" x14ac:dyDescent="0.25">
      <c r="B13" s="15" t="s">
        <v>570</v>
      </c>
      <c r="D13" s="186" t="s">
        <v>1261</v>
      </c>
      <c r="E13" s="186"/>
      <c r="F13" s="186"/>
      <c r="G13" s="186"/>
      <c r="H13" s="186"/>
      <c r="I13" s="186"/>
      <c r="J13" s="186"/>
      <c r="K13" s="186"/>
      <c r="L13" s="186"/>
      <c r="M13" s="186"/>
      <c r="N13" s="186"/>
      <c r="O13" s="186"/>
      <c r="P13" s="45"/>
      <c r="R13" s="11"/>
      <c r="T13" s="11" t="str" cm="1">
        <f t="array" ref="T13">IF(OR(OR(ISBLANK(R14:R23)),AND(R14:R23="No"),COUNTIFS(R14:R23,"&lt;&gt;No",R14:R23,"&lt;&gt;Yes")&gt;0),"R","G")</f>
        <v>R</v>
      </c>
    </row>
    <row r="14" spans="1:20" x14ac:dyDescent="0.25">
      <c r="B14" s="46" t="s">
        <v>962</v>
      </c>
      <c r="C14" s="46"/>
      <c r="D14" s="34" t="s">
        <v>1240</v>
      </c>
      <c r="E14" s="188" t="s">
        <v>1052</v>
      </c>
      <c r="F14" s="188"/>
      <c r="G14" s="188"/>
      <c r="H14" s="188"/>
      <c r="I14" s="188"/>
      <c r="J14" s="188"/>
      <c r="K14" s="188"/>
      <c r="L14" s="188"/>
      <c r="M14" s="188"/>
      <c r="N14" s="188"/>
      <c r="O14" s="188"/>
      <c r="P14" s="47"/>
      <c r="R14" s="16"/>
      <c r="T14" s="48"/>
    </row>
    <row r="15" spans="1:20" x14ac:dyDescent="0.25">
      <c r="B15" s="46" t="s">
        <v>963</v>
      </c>
      <c r="C15" s="46"/>
      <c r="D15" s="34" t="s">
        <v>1241</v>
      </c>
      <c r="E15" s="188" t="s">
        <v>957</v>
      </c>
      <c r="F15" s="188"/>
      <c r="G15" s="188"/>
      <c r="H15" s="188"/>
      <c r="I15" s="188"/>
      <c r="J15" s="188"/>
      <c r="K15" s="188"/>
      <c r="L15" s="188"/>
      <c r="M15" s="188"/>
      <c r="N15" s="188"/>
      <c r="O15" s="188"/>
      <c r="P15" s="47"/>
      <c r="R15" s="16"/>
      <c r="T15" s="48"/>
    </row>
    <row r="16" spans="1:20" x14ac:dyDescent="0.25">
      <c r="B16" s="46" t="s">
        <v>964</v>
      </c>
      <c r="C16" s="46"/>
      <c r="D16" s="34" t="s">
        <v>1242</v>
      </c>
      <c r="E16" s="188" t="s">
        <v>958</v>
      </c>
      <c r="F16" s="188"/>
      <c r="G16" s="188"/>
      <c r="H16" s="188"/>
      <c r="I16" s="188"/>
      <c r="J16" s="188"/>
      <c r="K16" s="188"/>
      <c r="L16" s="188"/>
      <c r="M16" s="188"/>
      <c r="N16" s="188"/>
      <c r="O16" s="188"/>
      <c r="P16" s="47"/>
      <c r="R16" s="16"/>
      <c r="T16" s="48"/>
    </row>
    <row r="17" spans="2:20" x14ac:dyDescent="0.25">
      <c r="B17" s="46" t="s">
        <v>965</v>
      </c>
      <c r="C17" s="46"/>
      <c r="D17" s="34" t="s">
        <v>1243</v>
      </c>
      <c r="E17" s="188" t="s">
        <v>959</v>
      </c>
      <c r="F17" s="188"/>
      <c r="G17" s="188"/>
      <c r="H17" s="188"/>
      <c r="I17" s="188"/>
      <c r="J17" s="188"/>
      <c r="K17" s="188"/>
      <c r="L17" s="188"/>
      <c r="M17" s="188"/>
      <c r="N17" s="188"/>
      <c r="O17" s="188"/>
      <c r="P17" s="47"/>
      <c r="R17" s="16"/>
      <c r="T17" s="48"/>
    </row>
    <row r="18" spans="2:20" x14ac:dyDescent="0.25">
      <c r="B18" s="46" t="s">
        <v>966</v>
      </c>
      <c r="C18" s="46"/>
      <c r="D18" s="34" t="s">
        <v>1244</v>
      </c>
      <c r="E18" s="189" t="s">
        <v>1262</v>
      </c>
      <c r="F18" s="189"/>
      <c r="G18" s="189"/>
      <c r="H18" s="189"/>
      <c r="I18" s="189"/>
      <c r="J18" s="189"/>
      <c r="K18" s="189"/>
      <c r="L18" s="189"/>
      <c r="M18" s="189"/>
      <c r="N18" s="189"/>
      <c r="O18" s="189"/>
      <c r="P18" s="49"/>
      <c r="R18" s="16"/>
      <c r="T18" s="48"/>
    </row>
    <row r="19" spans="2:20" x14ac:dyDescent="0.25">
      <c r="B19" s="46" t="s">
        <v>967</v>
      </c>
      <c r="C19" s="46"/>
      <c r="D19" s="34" t="s">
        <v>1245</v>
      </c>
      <c r="E19" s="188" t="s">
        <v>183</v>
      </c>
      <c r="F19" s="188"/>
      <c r="G19" s="188"/>
      <c r="H19" s="188"/>
      <c r="I19" s="188"/>
      <c r="J19" s="188"/>
      <c r="K19" s="188"/>
      <c r="L19" s="188"/>
      <c r="M19" s="188"/>
      <c r="N19" s="188"/>
      <c r="O19" s="188"/>
      <c r="P19" s="47"/>
      <c r="R19" s="16"/>
      <c r="T19" s="48"/>
    </row>
    <row r="20" spans="2:20" ht="30.75" customHeight="1" x14ac:dyDescent="0.25">
      <c r="B20" s="46" t="s">
        <v>968</v>
      </c>
      <c r="C20" s="46"/>
      <c r="D20" s="34" t="s">
        <v>1246</v>
      </c>
      <c r="E20" s="189" t="s">
        <v>1263</v>
      </c>
      <c r="F20" s="189"/>
      <c r="G20" s="189"/>
      <c r="H20" s="189"/>
      <c r="I20" s="189"/>
      <c r="J20" s="189"/>
      <c r="K20" s="189"/>
      <c r="L20" s="189"/>
      <c r="M20" s="189"/>
      <c r="N20" s="189"/>
      <c r="O20" s="189"/>
      <c r="P20" s="49"/>
      <c r="R20" s="16"/>
      <c r="T20" s="48"/>
    </row>
    <row r="21" spans="2:20" x14ac:dyDescent="0.25">
      <c r="B21" s="46" t="s">
        <v>969</v>
      </c>
      <c r="C21" s="46"/>
      <c r="D21" s="34" t="s">
        <v>1247</v>
      </c>
      <c r="E21" s="188" t="s">
        <v>960</v>
      </c>
      <c r="F21" s="188"/>
      <c r="G21" s="188"/>
      <c r="H21" s="188"/>
      <c r="I21" s="188"/>
      <c r="J21" s="188"/>
      <c r="K21" s="188"/>
      <c r="L21" s="188"/>
      <c r="M21" s="188"/>
      <c r="N21" s="188"/>
      <c r="O21" s="188"/>
      <c r="P21" s="47"/>
      <c r="R21" s="16"/>
      <c r="T21" s="48"/>
    </row>
    <row r="22" spans="2:20" x14ac:dyDescent="0.25">
      <c r="B22" s="46" t="s">
        <v>970</v>
      </c>
      <c r="C22" s="46"/>
      <c r="D22" s="34" t="s">
        <v>1248</v>
      </c>
      <c r="E22" s="188" t="s">
        <v>182</v>
      </c>
      <c r="F22" s="188"/>
      <c r="G22" s="188"/>
      <c r="H22" s="188"/>
      <c r="I22" s="188"/>
      <c r="J22" s="188"/>
      <c r="K22" s="188"/>
      <c r="L22" s="188"/>
      <c r="M22" s="188"/>
      <c r="N22" s="188"/>
      <c r="O22" s="188"/>
      <c r="P22" s="47"/>
      <c r="R22" s="16"/>
      <c r="T22" s="48"/>
    </row>
    <row r="23" spans="2:20" x14ac:dyDescent="0.25">
      <c r="B23" s="46" t="s">
        <v>971</v>
      </c>
      <c r="C23" s="46"/>
      <c r="D23" s="34" t="s">
        <v>1249</v>
      </c>
      <c r="E23" s="189" t="s">
        <v>961</v>
      </c>
      <c r="F23" s="189"/>
      <c r="G23" s="189"/>
      <c r="H23" s="189"/>
      <c r="I23" s="189"/>
      <c r="J23" s="189"/>
      <c r="K23" s="189"/>
      <c r="L23" s="189"/>
      <c r="M23" s="189"/>
      <c r="N23" s="189"/>
      <c r="O23" s="189"/>
      <c r="P23" s="49"/>
      <c r="R23" s="16"/>
      <c r="T23" s="48"/>
    </row>
    <row r="24" spans="2:20" x14ac:dyDescent="0.25"/>
    <row r="25" spans="2:20" ht="15" customHeight="1" x14ac:dyDescent="0.25">
      <c r="B25" s="15" t="s">
        <v>571</v>
      </c>
      <c r="D25" s="186" t="s">
        <v>779</v>
      </c>
      <c r="E25" s="186"/>
      <c r="F25" s="186"/>
      <c r="G25" s="186"/>
      <c r="H25" s="186"/>
      <c r="I25" s="186"/>
      <c r="J25" s="186"/>
      <c r="K25" s="186"/>
      <c r="L25" s="186"/>
      <c r="M25" s="186"/>
      <c r="N25" s="186"/>
      <c r="O25" s="186"/>
      <c r="P25" s="45"/>
      <c r="R25" s="16"/>
      <c r="T25" s="11" t="str">
        <f>IF(OR(ISBLANK(R25),AND(R25&lt;&gt;"Yes",R25&lt;&gt;"No")),"R","G")</f>
        <v>R</v>
      </c>
    </row>
    <row r="26" spans="2:20" ht="15" customHeight="1" x14ac:dyDescent="0.25">
      <c r="E26" s="44"/>
      <c r="F26" s="44"/>
      <c r="G26" s="44"/>
      <c r="H26" s="44"/>
      <c r="I26" s="44"/>
      <c r="J26" s="44"/>
      <c r="K26" s="44"/>
      <c r="L26" s="44"/>
      <c r="M26" s="44"/>
      <c r="N26" s="44"/>
      <c r="O26" s="44"/>
      <c r="P26" s="45"/>
    </row>
    <row r="27" spans="2:20" ht="15" customHeight="1" x14ac:dyDescent="0.25">
      <c r="B27" s="15" t="s">
        <v>572</v>
      </c>
      <c r="D27" s="186" t="s">
        <v>780</v>
      </c>
      <c r="E27" s="186"/>
      <c r="F27" s="186"/>
      <c r="G27" s="186"/>
      <c r="H27" s="186"/>
      <c r="I27" s="186"/>
      <c r="J27" s="186"/>
      <c r="K27" s="186"/>
      <c r="L27" s="186"/>
      <c r="M27" s="186"/>
      <c r="N27" s="186"/>
      <c r="O27" s="186"/>
      <c r="P27" s="45"/>
      <c r="R27" s="16"/>
      <c r="T27" s="11" t="str">
        <f>IF(OR(AND(ISBLANK(R27),R25="Yes"),AND(NOT(ISBLANK(R27)),R25&lt;&gt;"Yes")),"R","G")</f>
        <v>G</v>
      </c>
    </row>
    <row r="28" spans="2:20" ht="15" customHeight="1" x14ac:dyDescent="0.25">
      <c r="E28" s="44"/>
      <c r="F28" s="44"/>
      <c r="G28" s="44"/>
      <c r="H28" s="44"/>
      <c r="I28" s="44"/>
      <c r="J28" s="44"/>
      <c r="K28" s="44"/>
      <c r="L28" s="44"/>
      <c r="M28" s="44"/>
      <c r="N28" s="44"/>
      <c r="O28" s="44"/>
      <c r="P28" s="45"/>
    </row>
    <row r="29" spans="2:20" ht="15" customHeight="1" x14ac:dyDescent="0.25">
      <c r="B29" s="15" t="s">
        <v>573</v>
      </c>
      <c r="D29" s="186" t="s">
        <v>781</v>
      </c>
      <c r="E29" s="186"/>
      <c r="F29" s="186"/>
      <c r="G29" s="186"/>
      <c r="H29" s="186"/>
      <c r="I29" s="186"/>
      <c r="J29" s="186"/>
      <c r="K29" s="186"/>
      <c r="L29" s="186"/>
      <c r="M29" s="186"/>
      <c r="N29" s="186"/>
      <c r="O29" s="186"/>
      <c r="P29" s="45"/>
      <c r="R29" s="16"/>
      <c r="T29" s="11" t="str">
        <f>IF(OR(ISBLANK(R29),AND(R29&lt;&gt;"Yes",R29&lt;&gt;"No",R29&lt;&gt;"Not Applicable")),"R","G")</f>
        <v>R</v>
      </c>
    </row>
    <row r="30" spans="2:20" x14ac:dyDescent="0.25">
      <c r="E30" s="44"/>
      <c r="F30" s="44"/>
      <c r="G30" s="44"/>
      <c r="H30" s="44"/>
      <c r="I30" s="44"/>
      <c r="J30" s="44"/>
      <c r="K30" s="44"/>
      <c r="L30" s="44"/>
      <c r="M30" s="44"/>
      <c r="N30" s="44"/>
      <c r="O30" s="44"/>
      <c r="P30" s="45"/>
    </row>
    <row r="31" spans="2:20" ht="30.75" customHeight="1" x14ac:dyDescent="0.25">
      <c r="B31" s="15" t="s">
        <v>574</v>
      </c>
      <c r="D31" s="186" t="s">
        <v>782</v>
      </c>
      <c r="E31" s="186"/>
      <c r="F31" s="186"/>
      <c r="G31" s="186"/>
      <c r="H31" s="186"/>
      <c r="I31" s="186"/>
      <c r="J31" s="186"/>
      <c r="K31" s="186"/>
      <c r="L31" s="186"/>
      <c r="M31" s="186"/>
      <c r="N31" s="186"/>
      <c r="O31" s="186"/>
      <c r="P31" s="45"/>
      <c r="R31" s="16"/>
      <c r="T31" s="11" t="str">
        <f>IF(OR(AND(ISBLANK(R31),$R$29="Yes"),AND(NOT(ISBLANK(R31)),$R$29&lt;&gt;"Yes")),"R","G")</f>
        <v>G</v>
      </c>
    </row>
    <row r="32" spans="2:20" ht="15" customHeight="1" x14ac:dyDescent="0.25">
      <c r="E32" s="44"/>
      <c r="F32" s="44"/>
      <c r="G32" s="44"/>
      <c r="H32" s="44"/>
      <c r="I32" s="44"/>
      <c r="J32" s="44"/>
      <c r="K32" s="44"/>
      <c r="L32" s="44"/>
      <c r="M32" s="44"/>
      <c r="N32" s="44"/>
      <c r="O32" s="44"/>
      <c r="P32" s="45"/>
    </row>
    <row r="33" spans="2:20" ht="31.5" customHeight="1" x14ac:dyDescent="0.25">
      <c r="B33" s="15" t="s">
        <v>575</v>
      </c>
      <c r="D33" s="186" t="s">
        <v>783</v>
      </c>
      <c r="E33" s="186"/>
      <c r="F33" s="186"/>
      <c r="G33" s="186"/>
      <c r="H33" s="186"/>
      <c r="I33" s="186"/>
      <c r="J33" s="186"/>
      <c r="K33" s="186"/>
      <c r="L33" s="186"/>
      <c r="M33" s="186"/>
      <c r="N33" s="186"/>
      <c r="O33" s="186"/>
      <c r="P33" s="45"/>
      <c r="R33" s="16"/>
      <c r="T33" s="11" t="str">
        <f>IF(OR(AND(ISBLANK(R33),$R$29="Yes"),AND(NOT(ISBLANK(R33)),$R$29&lt;&gt;"Yes")),"R","G")</f>
        <v>G</v>
      </c>
    </row>
    <row r="34" spans="2:20" ht="15" customHeight="1" x14ac:dyDescent="0.25">
      <c r="E34" s="44"/>
      <c r="F34" s="44"/>
      <c r="G34" s="44"/>
      <c r="H34" s="44"/>
      <c r="I34" s="44"/>
      <c r="J34" s="44"/>
      <c r="K34" s="44"/>
      <c r="L34" s="44"/>
      <c r="M34" s="44"/>
      <c r="N34" s="44"/>
      <c r="O34" s="44"/>
      <c r="P34" s="45"/>
    </row>
    <row r="35" spans="2:20" ht="15" customHeight="1" x14ac:dyDescent="0.25">
      <c r="B35" s="15" t="s">
        <v>576</v>
      </c>
      <c r="D35" s="186" t="s">
        <v>784</v>
      </c>
      <c r="E35" s="186"/>
      <c r="F35" s="186"/>
      <c r="G35" s="186"/>
      <c r="H35" s="186"/>
      <c r="I35" s="186"/>
      <c r="J35" s="186"/>
      <c r="K35" s="186"/>
      <c r="L35" s="186"/>
      <c r="M35" s="186"/>
      <c r="N35" s="186"/>
      <c r="O35" s="186"/>
      <c r="P35" s="45"/>
      <c r="R35" s="16"/>
      <c r="T35" s="11" t="str">
        <f>IF(OR(AND(ISBLANK(R35),$R$29="Yes"),AND(NOT(ISBLANK(R35)),$R$29&lt;&gt;"Yes")),"R","G")</f>
        <v>G</v>
      </c>
    </row>
    <row r="36" spans="2:20" ht="15" customHeight="1" x14ac:dyDescent="0.25">
      <c r="E36" s="44"/>
      <c r="F36" s="44"/>
      <c r="G36" s="44"/>
      <c r="H36" s="44"/>
      <c r="I36" s="44"/>
      <c r="J36" s="44"/>
      <c r="K36" s="44"/>
      <c r="L36" s="44"/>
      <c r="M36" s="44"/>
      <c r="N36" s="44"/>
      <c r="O36" s="44"/>
      <c r="P36" s="45"/>
    </row>
    <row r="37" spans="2:20" ht="29.25" customHeight="1" x14ac:dyDescent="0.25">
      <c r="B37" s="34" t="s">
        <v>577</v>
      </c>
      <c r="C37" s="34"/>
      <c r="D37" s="186" t="s">
        <v>785</v>
      </c>
      <c r="E37" s="186"/>
      <c r="F37" s="186"/>
      <c r="G37" s="186"/>
      <c r="H37" s="186"/>
      <c r="I37" s="186"/>
      <c r="J37" s="186"/>
      <c r="K37" s="186"/>
      <c r="L37" s="186"/>
      <c r="M37" s="186"/>
      <c r="N37" s="186"/>
      <c r="O37" s="186"/>
      <c r="P37" s="45"/>
      <c r="R37" s="67"/>
      <c r="T37" s="11" t="str">
        <f>IF(OR(AND(ISBLANK(R37),$R$29="Yes"),AND(NOT(ISBLANK(R37)),$R$29&lt;&gt;"Yes")),"R","G")</f>
        <v>G</v>
      </c>
    </row>
    <row r="38" spans="2:20" ht="15" customHeight="1" x14ac:dyDescent="0.25">
      <c r="E38" s="44"/>
      <c r="F38" s="44"/>
      <c r="G38" s="44"/>
      <c r="H38" s="44"/>
      <c r="I38" s="44"/>
      <c r="J38" s="44"/>
      <c r="K38" s="44"/>
      <c r="L38" s="44"/>
      <c r="M38" s="44"/>
      <c r="N38" s="44"/>
      <c r="O38" s="44"/>
      <c r="P38" s="45"/>
    </row>
    <row r="39" spans="2:20" ht="30" customHeight="1" x14ac:dyDescent="0.25">
      <c r="B39" s="15" t="s">
        <v>578</v>
      </c>
      <c r="D39" s="186" t="s">
        <v>786</v>
      </c>
      <c r="E39" s="186"/>
      <c r="F39" s="186"/>
      <c r="G39" s="186"/>
      <c r="H39" s="186"/>
      <c r="I39" s="186"/>
      <c r="J39" s="186"/>
      <c r="K39" s="186"/>
      <c r="L39" s="186"/>
      <c r="M39" s="186"/>
      <c r="N39" s="186"/>
      <c r="O39" s="186"/>
      <c r="P39" s="45"/>
      <c r="R39" s="16"/>
      <c r="T39" s="11" t="str">
        <f>IF(OR(ISBLANK(R39),AND(R39&lt;&gt;"Yes",R39&lt;&gt;"No")),"R","G")</f>
        <v>R</v>
      </c>
    </row>
    <row r="40" spans="2:20" ht="15" customHeight="1" x14ac:dyDescent="0.25">
      <c r="E40" s="44"/>
      <c r="F40" s="44"/>
      <c r="G40" s="44"/>
      <c r="H40" s="44"/>
      <c r="I40" s="44"/>
      <c r="J40" s="44"/>
      <c r="K40" s="44"/>
      <c r="L40" s="44"/>
      <c r="M40" s="44"/>
      <c r="N40" s="44"/>
      <c r="O40" s="44"/>
      <c r="P40" s="45"/>
    </row>
    <row r="41" spans="2:20" ht="30.75" customHeight="1" x14ac:dyDescent="0.25">
      <c r="B41" s="15" t="s">
        <v>579</v>
      </c>
      <c r="D41" s="186" t="s">
        <v>787</v>
      </c>
      <c r="E41" s="186"/>
      <c r="F41" s="186"/>
      <c r="G41" s="186"/>
      <c r="H41" s="186"/>
      <c r="I41" s="186"/>
      <c r="J41" s="186"/>
      <c r="K41" s="186"/>
      <c r="L41" s="186"/>
      <c r="M41" s="186"/>
      <c r="N41" s="186"/>
      <c r="O41" s="186"/>
      <c r="P41" s="45"/>
      <c r="R41" s="16"/>
      <c r="T41" s="11" t="str">
        <f>IF(OR(AND(ISBLANK(R41),R39="Yes"),AND(NOT(ISBLANK(R41)),R39&lt;&gt;"Yes")),"R","G")</f>
        <v>G</v>
      </c>
    </row>
    <row r="42" spans="2:20" ht="15" customHeight="1" x14ac:dyDescent="0.25">
      <c r="E42" s="44"/>
      <c r="F42" s="44"/>
      <c r="G42" s="44"/>
      <c r="H42" s="44"/>
      <c r="I42" s="44"/>
      <c r="J42" s="44"/>
      <c r="K42" s="44"/>
      <c r="L42" s="44"/>
      <c r="M42" s="44"/>
      <c r="N42" s="44"/>
      <c r="O42" s="44"/>
      <c r="P42" s="45"/>
    </row>
    <row r="43" spans="2:20" ht="31.5" customHeight="1" x14ac:dyDescent="0.25">
      <c r="B43" s="15" t="s">
        <v>580</v>
      </c>
      <c r="D43" s="186" t="s">
        <v>788</v>
      </c>
      <c r="E43" s="186"/>
      <c r="F43" s="186"/>
      <c r="G43" s="186"/>
      <c r="H43" s="186"/>
      <c r="I43" s="186"/>
      <c r="J43" s="186"/>
      <c r="K43" s="186"/>
      <c r="L43" s="186"/>
      <c r="M43" s="186"/>
      <c r="N43" s="186"/>
      <c r="O43" s="186"/>
      <c r="P43" s="45"/>
      <c r="R43" s="67"/>
      <c r="T43" s="11" t="str">
        <f>IF(ISBLANK(R43),"R","G")</f>
        <v>R</v>
      </c>
    </row>
    <row r="44" spans="2:20" x14ac:dyDescent="0.25">
      <c r="E44" s="44"/>
      <c r="F44" s="44"/>
      <c r="G44" s="44"/>
      <c r="H44" s="44"/>
      <c r="I44" s="44"/>
      <c r="J44" s="44"/>
      <c r="K44" s="44"/>
      <c r="L44" s="44"/>
      <c r="M44" s="44"/>
      <c r="N44" s="44"/>
      <c r="O44" s="44"/>
      <c r="P44" s="45"/>
    </row>
    <row r="45" spans="2:20" ht="15" customHeight="1" x14ac:dyDescent="0.25">
      <c r="B45" s="15" t="s">
        <v>581</v>
      </c>
      <c r="D45" s="186" t="s">
        <v>789</v>
      </c>
      <c r="E45" s="186"/>
      <c r="F45" s="186"/>
      <c r="G45" s="186"/>
      <c r="H45" s="186"/>
      <c r="I45" s="186"/>
      <c r="J45" s="186"/>
      <c r="K45" s="186"/>
      <c r="L45" s="186"/>
      <c r="M45" s="186"/>
      <c r="N45" s="186"/>
      <c r="O45" s="186"/>
      <c r="P45" s="45"/>
      <c r="R45" s="16"/>
      <c r="T45" s="11" t="str">
        <f>IF(OR(ISBLANK(R45),AND(R45&lt;&gt;"Yes",R45&lt;&gt;"No")),"R","G")</f>
        <v>R</v>
      </c>
    </row>
    <row r="46" spans="2:20" ht="15" customHeight="1" x14ac:dyDescent="0.25">
      <c r="E46" s="44"/>
      <c r="F46" s="44"/>
      <c r="G46" s="44"/>
      <c r="H46" s="44"/>
      <c r="I46" s="44"/>
      <c r="J46" s="44"/>
      <c r="K46" s="44"/>
      <c r="L46" s="44"/>
      <c r="M46" s="44"/>
      <c r="N46" s="44"/>
      <c r="O46" s="44"/>
      <c r="P46" s="45"/>
    </row>
    <row r="47" spans="2:20" ht="29.25" customHeight="1" x14ac:dyDescent="0.25">
      <c r="B47" s="15" t="s">
        <v>582</v>
      </c>
      <c r="D47" s="186" t="s">
        <v>790</v>
      </c>
      <c r="E47" s="186"/>
      <c r="F47" s="186"/>
      <c r="G47" s="186"/>
      <c r="H47" s="186"/>
      <c r="I47" s="186"/>
      <c r="J47" s="186"/>
      <c r="K47" s="186"/>
      <c r="L47" s="186"/>
      <c r="M47" s="186"/>
      <c r="N47" s="186"/>
      <c r="O47" s="186"/>
      <c r="P47" s="45"/>
      <c r="R47" s="16"/>
      <c r="T47" s="11" t="str">
        <f>IF(OR(AND(ISBLANK(R47),$R$45="Yes"),AND(NOT(ISBLANK(R47)),$R$45&lt;&gt;"Yes")),"R","G")</f>
        <v>G</v>
      </c>
    </row>
    <row r="48" spans="2:20" ht="15" customHeight="1" x14ac:dyDescent="0.25">
      <c r="E48" s="44"/>
      <c r="F48" s="44"/>
      <c r="G48" s="44"/>
      <c r="H48" s="44"/>
      <c r="I48" s="44"/>
      <c r="J48" s="44"/>
      <c r="K48" s="44"/>
      <c r="L48" s="44"/>
      <c r="M48" s="44"/>
      <c r="N48" s="44"/>
      <c r="O48" s="10"/>
      <c r="P48" s="50"/>
      <c r="R48" s="10"/>
    </row>
    <row r="49" spans="1:21" ht="47.25" customHeight="1" x14ac:dyDescent="0.25">
      <c r="B49" s="15" t="s">
        <v>583</v>
      </c>
      <c r="D49" s="186" t="s">
        <v>791</v>
      </c>
      <c r="E49" s="186"/>
      <c r="F49" s="186"/>
      <c r="G49" s="186"/>
      <c r="H49" s="186"/>
      <c r="I49" s="186"/>
      <c r="J49" s="186"/>
      <c r="K49" s="186"/>
      <c r="L49" s="186"/>
      <c r="M49" s="186"/>
      <c r="N49" s="186"/>
      <c r="O49" s="186"/>
      <c r="P49" s="45" t="s">
        <v>985</v>
      </c>
      <c r="R49" s="17"/>
      <c r="T49" s="11" t="str">
        <f>IF(OR(AND(R45="Yes",T50="R"),AND(R45&lt;&gt;"Yes",T50="R")),"R","G")</f>
        <v>G</v>
      </c>
    </row>
    <row r="50" spans="1:21" x14ac:dyDescent="0.25">
      <c r="B50" s="51" t="s">
        <v>998</v>
      </c>
      <c r="C50" s="51"/>
      <c r="E50" s="44"/>
      <c r="F50" s="44"/>
      <c r="G50" s="44"/>
      <c r="H50" s="44"/>
      <c r="I50" s="44"/>
      <c r="J50" s="44"/>
      <c r="K50" s="44"/>
      <c r="L50" s="44"/>
      <c r="M50" s="187" t="s">
        <v>936</v>
      </c>
      <c r="N50" s="187"/>
      <c r="O50" s="187"/>
      <c r="P50" s="187"/>
      <c r="Q50" s="52"/>
      <c r="R50" s="61"/>
      <c r="T50" s="11" t="str">
        <f>IF(R45="Yes",IF(OR(AND(ISBLANK(R49),ISBLANK(R50)),AND(NOT(ISBLANK(R49)),R50="Not Available")),"R","G"),IF(R45&lt;&gt;"Yes",IF(OR(AND(NOT(ISBLANK(R49)),NOT(ISBLANK(R50))),AND(ISBLANK(R49),R50="Not Available"),AND(NOT(ISBLANK(R49)),R50&lt;&gt;"Not Available")),"R","G")))</f>
        <v>G</v>
      </c>
    </row>
    <row r="51" spans="1:21" ht="15" customHeight="1" x14ac:dyDescent="0.25">
      <c r="F51" s="44"/>
      <c r="G51" s="44"/>
      <c r="H51" s="44"/>
      <c r="I51" s="44"/>
      <c r="J51" s="44"/>
      <c r="K51" s="44"/>
      <c r="L51" s="44"/>
      <c r="M51" s="44"/>
      <c r="N51" s="44"/>
      <c r="O51" s="44"/>
      <c r="P51" s="45"/>
      <c r="R51" s="45"/>
    </row>
    <row r="52" spans="1:21" ht="48" customHeight="1" x14ac:dyDescent="0.25">
      <c r="B52" s="15" t="s">
        <v>584</v>
      </c>
      <c r="D52" s="186" t="s">
        <v>792</v>
      </c>
      <c r="E52" s="186"/>
      <c r="F52" s="186"/>
      <c r="G52" s="186"/>
      <c r="H52" s="186"/>
      <c r="I52" s="186"/>
      <c r="J52" s="186"/>
      <c r="K52" s="186"/>
      <c r="L52" s="186"/>
      <c r="M52" s="186"/>
      <c r="N52" s="186"/>
      <c r="O52" s="186"/>
      <c r="P52" s="45" t="s">
        <v>985</v>
      </c>
      <c r="R52" s="17"/>
      <c r="T52" s="11" t="str">
        <f>IF(OR(AND(R45="Yes",T53="R"),AND(R45&lt;&gt;"Yes",T53="R")),"R","G")</f>
        <v>G</v>
      </c>
    </row>
    <row r="53" spans="1:21" x14ac:dyDescent="0.25">
      <c r="B53" s="53" t="s">
        <v>997</v>
      </c>
      <c r="C53" s="53"/>
      <c r="E53" s="44"/>
      <c r="F53" s="44"/>
      <c r="G53" s="44"/>
      <c r="H53" s="44"/>
      <c r="I53" s="44"/>
      <c r="J53" s="44"/>
      <c r="K53" s="44"/>
      <c r="L53" s="44"/>
      <c r="M53" s="187" t="s">
        <v>936</v>
      </c>
      <c r="N53" s="187"/>
      <c r="O53" s="187"/>
      <c r="P53" s="187"/>
      <c r="Q53" s="52"/>
      <c r="R53" s="61"/>
      <c r="T53" s="11" t="str">
        <f>IF(R45="Yes",IF(OR(AND(ISBLANK(R52),ISBLANK(R53)),AND(NOT(ISBLANK(R52)),R53="Not Available")),"R","G"),IF(R45&lt;&gt;"Yes",IF(OR(AND(NOT(ISBLANK(R52)),NOT(ISBLANK(R53))),AND(ISBLANK(R52),R53="Not Available"),AND(NOT(ISBLANK(R52)),R53&lt;&gt;"Not Available")),"R","G")))</f>
        <v>G</v>
      </c>
    </row>
    <row r="54" spans="1:21" s="44" customFormat="1" ht="15" customHeight="1" x14ac:dyDescent="0.25">
      <c r="A54" s="10"/>
      <c r="B54" s="15"/>
      <c r="C54" s="15"/>
      <c r="D54" s="34"/>
      <c r="P54" s="45"/>
      <c r="U54" s="22"/>
    </row>
    <row r="55" spans="1:21" ht="32.25" customHeight="1" x14ac:dyDescent="0.25">
      <c r="B55" s="15" t="s">
        <v>585</v>
      </c>
      <c r="D55" s="186" t="s">
        <v>793</v>
      </c>
      <c r="E55" s="186"/>
      <c r="F55" s="186"/>
      <c r="G55" s="186"/>
      <c r="H55" s="186"/>
      <c r="I55" s="186"/>
      <c r="J55" s="186"/>
      <c r="K55" s="186"/>
      <c r="L55" s="186"/>
      <c r="M55" s="186"/>
      <c r="N55" s="186"/>
      <c r="O55" s="186"/>
      <c r="P55" s="45"/>
      <c r="R55" s="67"/>
      <c r="T55" s="11" t="str">
        <f>IF(ISBLANK(R55),"R","G")</f>
        <v>R</v>
      </c>
    </row>
    <row r="56" spans="1:21" x14ac:dyDescent="0.25">
      <c r="B56" s="34"/>
      <c r="C56" s="34"/>
      <c r="D56" s="15"/>
      <c r="E56" s="15"/>
      <c r="F56" s="15"/>
      <c r="G56" s="15"/>
      <c r="H56" s="15"/>
      <c r="I56" s="15"/>
      <c r="J56" s="15"/>
      <c r="K56" s="15"/>
      <c r="L56" s="15"/>
      <c r="M56" s="15"/>
      <c r="N56" s="15"/>
      <c r="O56" s="15"/>
      <c r="P56" s="25"/>
      <c r="R56" s="36"/>
    </row>
    <row r="57" spans="1:21" ht="7.35" customHeight="1" x14ac:dyDescent="0.25">
      <c r="B57" s="71"/>
      <c r="C57" s="71"/>
      <c r="D57" s="15"/>
      <c r="E57" s="15"/>
      <c r="F57" s="15"/>
      <c r="G57" s="15"/>
      <c r="H57" s="15"/>
      <c r="I57" s="15"/>
      <c r="J57" s="15"/>
      <c r="K57" s="15"/>
      <c r="L57" s="15"/>
      <c r="M57" s="72"/>
      <c r="N57" s="72"/>
      <c r="O57" s="72"/>
      <c r="P57" s="72"/>
      <c r="Q57" s="73"/>
      <c r="R57" s="74"/>
    </row>
    <row r="58" spans="1:21" ht="7.15" customHeight="1" x14ac:dyDescent="0.25">
      <c r="A58" s="75"/>
      <c r="B58" s="76"/>
      <c r="C58" s="76"/>
      <c r="D58" s="77"/>
      <c r="E58" s="77"/>
      <c r="F58" s="77"/>
      <c r="G58" s="77"/>
      <c r="H58" s="77"/>
      <c r="I58" s="77"/>
      <c r="J58" s="77"/>
      <c r="K58" s="77"/>
      <c r="L58" s="77"/>
      <c r="M58" s="77"/>
      <c r="N58" s="77"/>
      <c r="O58" s="77"/>
      <c r="P58" s="77"/>
      <c r="Q58" s="75"/>
      <c r="R58" s="78"/>
      <c r="S58" s="75"/>
      <c r="T58" s="12"/>
    </row>
    <row r="59" spans="1:21" ht="7.35" customHeight="1" x14ac:dyDescent="0.25">
      <c r="B59" s="71"/>
      <c r="C59" s="71"/>
      <c r="D59" s="15"/>
      <c r="E59" s="15"/>
      <c r="F59" s="15"/>
      <c r="G59" s="15"/>
      <c r="H59" s="15"/>
      <c r="I59" s="15"/>
      <c r="J59" s="15"/>
      <c r="K59" s="15"/>
      <c r="L59" s="15"/>
      <c r="M59" s="15"/>
      <c r="N59" s="15"/>
      <c r="O59" s="15"/>
      <c r="P59" s="15"/>
      <c r="R59" s="74"/>
    </row>
    <row r="60" spans="1:21" ht="19.5" thickBot="1" x14ac:dyDescent="0.3">
      <c r="A60" s="37"/>
      <c r="B60" s="38" t="s">
        <v>92</v>
      </c>
      <c r="C60" s="38"/>
      <c r="D60" s="39" t="s">
        <v>1121</v>
      </c>
      <c r="E60" s="40"/>
      <c r="F60" s="40"/>
      <c r="G60" s="40"/>
      <c r="H60" s="40"/>
      <c r="I60" s="40"/>
      <c r="J60" s="40"/>
      <c r="K60" s="40"/>
      <c r="L60" s="40"/>
      <c r="M60" s="40"/>
      <c r="N60" s="40"/>
      <c r="O60" s="40"/>
      <c r="P60" s="41"/>
      <c r="Q60" s="37"/>
      <c r="R60" s="42"/>
      <c r="S60" s="37"/>
    </row>
    <row r="61" spans="1:21" x14ac:dyDescent="0.25"/>
    <row r="62" spans="1:21" ht="30" customHeight="1" x14ac:dyDescent="0.25">
      <c r="B62" s="15" t="s">
        <v>586</v>
      </c>
      <c r="D62" s="184" t="s">
        <v>794</v>
      </c>
      <c r="E62" s="184"/>
      <c r="F62" s="184"/>
      <c r="G62" s="184"/>
      <c r="H62" s="184"/>
      <c r="I62" s="184"/>
      <c r="J62" s="184"/>
      <c r="K62" s="184"/>
      <c r="L62" s="184"/>
      <c r="M62" s="184"/>
      <c r="N62" s="184"/>
      <c r="O62" s="184"/>
      <c r="P62" s="55"/>
      <c r="T62" s="11" t="str" cm="1">
        <f t="array" ref="T62">IF(OR(AND(OR(OR(ISBLANK(R63:R68)),AND(R63:R68="No"),COUNTIFS(R63:R68,"&lt;&gt;No",R63:R68,"&lt;&gt;Yes")&gt;0),FinancialLeasing="Yes",OR(T69="G",T69="R")),AND(COUNTIFS(R63:R68,"Yes")&lt;&gt;0,FinancialLeasing="Yes",T69="R"),AND(NOT(ISBLANK(R63:R68)),FinancialLeasing&lt;&gt;"Yes",T69="G")),"R","G")</f>
        <v>G</v>
      </c>
    </row>
    <row r="63" spans="1:21" x14ac:dyDescent="0.25">
      <c r="B63" s="46" t="s">
        <v>986</v>
      </c>
      <c r="C63" s="46"/>
      <c r="E63" s="46" t="s">
        <v>992</v>
      </c>
      <c r="F63" s="54"/>
      <c r="G63" s="54"/>
      <c r="H63" s="54"/>
      <c r="I63" s="54"/>
      <c r="J63" s="54"/>
      <c r="K63" s="54"/>
      <c r="L63" s="54"/>
      <c r="M63" s="54"/>
      <c r="N63" s="54"/>
      <c r="O63" s="54"/>
      <c r="P63" s="55"/>
      <c r="R63" s="16"/>
    </row>
    <row r="64" spans="1:21" x14ac:dyDescent="0.25">
      <c r="B64" s="46" t="s">
        <v>987</v>
      </c>
      <c r="C64" s="46"/>
      <c r="E64" s="46" t="s">
        <v>993</v>
      </c>
      <c r="F64" s="54"/>
      <c r="G64" s="54"/>
      <c r="H64" s="54"/>
      <c r="I64" s="54"/>
      <c r="J64" s="54"/>
      <c r="K64" s="54"/>
      <c r="L64" s="54"/>
      <c r="M64" s="54"/>
      <c r="N64" s="54"/>
      <c r="O64" s="54"/>
      <c r="P64" s="55"/>
      <c r="R64" s="16"/>
    </row>
    <row r="65" spans="1:20" x14ac:dyDescent="0.25">
      <c r="B65" s="46" t="s">
        <v>988</v>
      </c>
      <c r="C65" s="46"/>
      <c r="E65" s="46" t="s">
        <v>994</v>
      </c>
      <c r="F65" s="54"/>
      <c r="G65" s="54"/>
      <c r="H65" s="54"/>
      <c r="I65" s="54"/>
      <c r="J65" s="54"/>
      <c r="K65" s="54"/>
      <c r="L65" s="54"/>
      <c r="M65" s="54"/>
      <c r="N65" s="54"/>
      <c r="O65" s="54"/>
      <c r="P65" s="55"/>
      <c r="R65" s="16"/>
    </row>
    <row r="66" spans="1:20" x14ac:dyDescent="0.25">
      <c r="B66" s="46" t="s">
        <v>989</v>
      </c>
      <c r="C66" s="46"/>
      <c r="E66" s="46" t="s">
        <v>995</v>
      </c>
      <c r="F66" s="54"/>
      <c r="G66" s="54"/>
      <c r="H66" s="54"/>
      <c r="I66" s="54"/>
      <c r="J66" s="54"/>
      <c r="K66" s="54"/>
      <c r="L66" s="54"/>
      <c r="M66" s="54"/>
      <c r="N66" s="54"/>
      <c r="O66" s="54"/>
      <c r="P66" s="55"/>
      <c r="R66" s="16"/>
    </row>
    <row r="67" spans="1:20" x14ac:dyDescent="0.25">
      <c r="B67" s="46" t="s">
        <v>990</v>
      </c>
      <c r="C67" s="46"/>
      <c r="E67" s="46" t="s">
        <v>996</v>
      </c>
      <c r="F67" s="54"/>
      <c r="G67" s="54"/>
      <c r="H67" s="54"/>
      <c r="I67" s="54"/>
      <c r="J67" s="54"/>
      <c r="K67" s="54"/>
      <c r="L67" s="54"/>
      <c r="M67" s="54"/>
      <c r="N67" s="54"/>
      <c r="O67" s="54"/>
      <c r="P67" s="55"/>
      <c r="R67" s="16"/>
    </row>
    <row r="68" spans="1:20" x14ac:dyDescent="0.25">
      <c r="B68" s="46" t="s">
        <v>991</v>
      </c>
      <c r="C68" s="46"/>
      <c r="E68" s="46" t="s">
        <v>1011</v>
      </c>
      <c r="F68" s="54"/>
      <c r="G68" s="54"/>
      <c r="H68" s="54"/>
      <c r="I68" s="54"/>
      <c r="J68" s="54"/>
      <c r="K68" s="54"/>
      <c r="L68" s="54"/>
      <c r="M68" s="54"/>
      <c r="N68" s="54"/>
      <c r="O68" s="54"/>
      <c r="P68" s="55"/>
      <c r="R68" s="16"/>
    </row>
    <row r="69" spans="1:20" x14ac:dyDescent="0.25">
      <c r="B69" s="56" t="s">
        <v>1012</v>
      </c>
      <c r="C69" s="56"/>
      <c r="E69" s="46"/>
      <c r="F69" s="54"/>
      <c r="G69" s="54"/>
      <c r="H69" s="54"/>
      <c r="I69" s="54"/>
      <c r="J69" s="54"/>
      <c r="K69" s="54"/>
      <c r="L69" s="54"/>
      <c r="M69" s="187" t="s">
        <v>999</v>
      </c>
      <c r="N69" s="187"/>
      <c r="O69" s="187"/>
      <c r="P69" s="187"/>
      <c r="R69" s="16"/>
      <c r="T69" s="11" t="str">
        <f>IF(OR(AND(ISBLANK(R69),FinancialLeasing="Yes",R68="Yes"),AND(ISBLANK(R69),FinancialLeasing="Yes",R68="Yes"),AND(NOT(ISBLANK(R69)),FinancialLeasing="Yes",R68&lt;&gt;"Yes"),AND(NOT(ISBLANK(R69)),FinancialLeasing&lt;&gt;"Yes",R68&lt;&gt;"Yes")),"R","G")</f>
        <v>G</v>
      </c>
    </row>
    <row r="70" spans="1:20" x14ac:dyDescent="0.25"/>
    <row r="71" spans="1:20" ht="15" customHeight="1" x14ac:dyDescent="0.25">
      <c r="B71" s="15" t="s">
        <v>587</v>
      </c>
      <c r="D71" s="184" t="s">
        <v>1078</v>
      </c>
      <c r="E71" s="184"/>
      <c r="F71" s="184"/>
      <c r="G71" s="184"/>
      <c r="H71" s="184"/>
      <c r="I71" s="184"/>
      <c r="J71" s="184"/>
      <c r="K71" s="184"/>
      <c r="L71" s="184"/>
      <c r="M71" s="184"/>
      <c r="N71" s="184"/>
      <c r="O71" s="184"/>
      <c r="P71" s="45" t="s">
        <v>985</v>
      </c>
      <c r="R71" s="17"/>
      <c r="T71" s="11" t="str" cm="1">
        <f t="array" ref="T71">IF(OR(AND(ISBLANK(R71),OR($R$63:$R$68="Yes")),AND(NOT(ISBLANK(R71)),AND($R$63:$R$68&lt;&gt;"Yes"))),"R","G")</f>
        <v>G</v>
      </c>
    </row>
    <row r="72" spans="1:20" x14ac:dyDescent="0.25">
      <c r="E72" s="54"/>
      <c r="F72" s="54"/>
      <c r="G72" s="54"/>
      <c r="H72" s="54"/>
      <c r="I72" s="54"/>
      <c r="J72" s="54"/>
      <c r="K72" s="54"/>
      <c r="L72" s="54"/>
      <c r="M72" s="54"/>
      <c r="N72" s="54"/>
      <c r="O72" s="54"/>
      <c r="P72" s="55"/>
      <c r="Q72" s="54"/>
      <c r="R72" s="45"/>
      <c r="T72" s="11"/>
    </row>
    <row r="73" spans="1:20" ht="15" customHeight="1" x14ac:dyDescent="0.25">
      <c r="B73" s="15" t="s">
        <v>588</v>
      </c>
      <c r="D73" s="184" t="s">
        <v>795</v>
      </c>
      <c r="E73" s="184"/>
      <c r="F73" s="184"/>
      <c r="G73" s="184"/>
      <c r="H73" s="184"/>
      <c r="I73" s="184"/>
      <c r="J73" s="184"/>
      <c r="K73" s="184"/>
      <c r="L73" s="184"/>
      <c r="M73" s="184"/>
      <c r="N73" s="184"/>
      <c r="O73" s="184"/>
      <c r="P73" s="45" t="s">
        <v>985</v>
      </c>
      <c r="R73" s="17"/>
      <c r="T73" s="11" t="str" cm="1">
        <f t="array" ref="T73">IF(OR(AND(ISBLANK(R73),OR($R$63:$R$68="Yes")),AND(NOT(ISBLANK(R73)),AND($R$63:$R$68&lt;&gt;"Yes"))),"R","G")</f>
        <v>G</v>
      </c>
    </row>
    <row r="74" spans="1:20" x14ac:dyDescent="0.25">
      <c r="E74" s="54"/>
      <c r="F74" s="54"/>
      <c r="G74" s="54"/>
      <c r="H74" s="54"/>
      <c r="I74" s="54"/>
      <c r="J74" s="54"/>
      <c r="K74" s="54"/>
      <c r="L74" s="54"/>
      <c r="M74" s="54"/>
      <c r="N74" s="54"/>
      <c r="O74" s="54"/>
      <c r="P74" s="55"/>
    </row>
    <row r="75" spans="1:20" ht="15" customHeight="1" x14ac:dyDescent="0.25">
      <c r="B75" s="15" t="s">
        <v>589</v>
      </c>
      <c r="D75" s="184" t="s">
        <v>796</v>
      </c>
      <c r="E75" s="184"/>
      <c r="F75" s="184"/>
      <c r="G75" s="184"/>
      <c r="H75" s="184"/>
      <c r="I75" s="184"/>
      <c r="J75" s="184"/>
      <c r="K75" s="184"/>
      <c r="L75" s="184"/>
      <c r="M75" s="184"/>
      <c r="N75" s="184"/>
      <c r="O75" s="184"/>
      <c r="P75" s="55"/>
      <c r="R75" s="16"/>
      <c r="T75" s="11" t="str" cm="1">
        <f t="array" ref="T75">IF(OR(AND(ISBLANK(R75),OR($R$63:$R$68="Yes")),AND(NOT(ISBLANK(R75)),AND($R$63:$R$68&lt;&gt;"Yes"))),"R","G")</f>
        <v>G</v>
      </c>
    </row>
    <row r="76" spans="1:20" x14ac:dyDescent="0.25"/>
    <row r="77" spans="1:20" ht="7.35" customHeight="1" x14ac:dyDescent="0.25">
      <c r="B77" s="71"/>
      <c r="C77" s="71"/>
      <c r="D77" s="15"/>
      <c r="E77" s="15"/>
      <c r="F77" s="15"/>
      <c r="G77" s="15"/>
      <c r="H77" s="15"/>
      <c r="I77" s="15"/>
      <c r="J77" s="15"/>
      <c r="K77" s="15"/>
      <c r="L77" s="15"/>
      <c r="M77" s="72"/>
      <c r="N77" s="72"/>
      <c r="O77" s="72"/>
      <c r="P77" s="72"/>
      <c r="Q77" s="73"/>
      <c r="R77" s="74"/>
    </row>
    <row r="78" spans="1:20" ht="7.15" customHeight="1" x14ac:dyDescent="0.25">
      <c r="A78" s="75"/>
      <c r="B78" s="76"/>
      <c r="C78" s="76"/>
      <c r="D78" s="77"/>
      <c r="E78" s="77"/>
      <c r="F78" s="77"/>
      <c r="G78" s="77"/>
      <c r="H78" s="77"/>
      <c r="I78" s="77"/>
      <c r="J78" s="77"/>
      <c r="K78" s="77"/>
      <c r="L78" s="77"/>
      <c r="M78" s="77"/>
      <c r="N78" s="77"/>
      <c r="O78" s="77"/>
      <c r="P78" s="77"/>
      <c r="Q78" s="75"/>
      <c r="R78" s="78"/>
      <c r="S78" s="75"/>
      <c r="T78" s="12"/>
    </row>
    <row r="79" spans="1:20" ht="7.35" customHeight="1" x14ac:dyDescent="0.25">
      <c r="B79" s="71"/>
      <c r="C79" s="71"/>
      <c r="D79" s="15"/>
      <c r="E79" s="15"/>
      <c r="F79" s="15"/>
      <c r="G79" s="15"/>
      <c r="H79" s="15"/>
      <c r="I79" s="15"/>
      <c r="J79" s="15"/>
      <c r="K79" s="15"/>
      <c r="L79" s="15"/>
      <c r="M79" s="15"/>
      <c r="N79" s="15"/>
      <c r="O79" s="15"/>
      <c r="P79" s="15"/>
      <c r="R79" s="74"/>
    </row>
    <row r="80" spans="1:20" ht="19.5" thickBot="1" x14ac:dyDescent="0.3">
      <c r="A80" s="37"/>
      <c r="B80" s="38" t="s">
        <v>100</v>
      </c>
      <c r="C80" s="38"/>
      <c r="D80" s="39" t="s">
        <v>1122</v>
      </c>
      <c r="E80" s="40"/>
      <c r="F80" s="40"/>
      <c r="G80" s="40"/>
      <c r="H80" s="40"/>
      <c r="I80" s="40"/>
      <c r="J80" s="40"/>
      <c r="K80" s="40"/>
      <c r="L80" s="40"/>
      <c r="M80" s="40"/>
      <c r="N80" s="40"/>
      <c r="O80" s="40"/>
      <c r="P80" s="41"/>
      <c r="Q80" s="37"/>
      <c r="R80" s="42"/>
      <c r="S80" s="37"/>
    </row>
    <row r="81" spans="2:20" ht="18.75" x14ac:dyDescent="0.25">
      <c r="B81" s="62"/>
      <c r="C81" s="62"/>
      <c r="D81" s="63"/>
      <c r="E81" s="15"/>
      <c r="F81" s="15"/>
      <c r="G81" s="15"/>
      <c r="H81" s="15"/>
      <c r="I81" s="15"/>
      <c r="J81" s="15"/>
      <c r="K81" s="15"/>
      <c r="L81" s="15"/>
      <c r="M81" s="15"/>
      <c r="N81" s="15"/>
      <c r="O81" s="15"/>
      <c r="P81" s="25"/>
      <c r="R81" s="35"/>
    </row>
    <row r="82" spans="2:20" ht="15" customHeight="1" x14ac:dyDescent="0.25">
      <c r="B82" s="15" t="s">
        <v>590</v>
      </c>
      <c r="D82" s="184" t="s">
        <v>797</v>
      </c>
      <c r="E82" s="184"/>
      <c r="F82" s="184"/>
      <c r="G82" s="184"/>
      <c r="H82" s="184"/>
      <c r="I82" s="184"/>
      <c r="J82" s="184"/>
      <c r="K82" s="184"/>
      <c r="L82" s="184"/>
      <c r="M82" s="184"/>
      <c r="N82" s="184"/>
      <c r="O82" s="184"/>
      <c r="P82" s="55"/>
      <c r="R82" s="16"/>
      <c r="T82" s="11" t="str">
        <f>IF(OR(AND(ISBLANK(R82),Payment="Yes"),AND(NOT(ISBLANK(R82)),Payment&lt;&gt;"Yes")),"R","G")</f>
        <v>G</v>
      </c>
    </row>
    <row r="83" spans="2:20" x14ac:dyDescent="0.25">
      <c r="E83" s="54"/>
      <c r="F83" s="54"/>
      <c r="G83" s="54"/>
      <c r="H83" s="54"/>
      <c r="I83" s="54"/>
      <c r="J83" s="54"/>
      <c r="K83" s="54"/>
      <c r="L83" s="54"/>
      <c r="M83" s="54"/>
      <c r="N83" s="54"/>
      <c r="O83" s="54"/>
      <c r="P83" s="55"/>
    </row>
    <row r="84" spans="2:20" ht="30.75" customHeight="1" x14ac:dyDescent="0.25">
      <c r="B84" s="15" t="s">
        <v>591</v>
      </c>
      <c r="D84" s="184" t="s">
        <v>798</v>
      </c>
      <c r="E84" s="184"/>
      <c r="F84" s="184"/>
      <c r="G84" s="184"/>
      <c r="H84" s="184"/>
      <c r="I84" s="184"/>
      <c r="J84" s="184"/>
      <c r="K84" s="184"/>
      <c r="L84" s="184"/>
      <c r="M84" s="184"/>
      <c r="N84" s="184"/>
      <c r="O84" s="184"/>
      <c r="P84" s="55"/>
      <c r="T84" s="11" t="str" cm="1">
        <f t="array" ref="T84">IF(OR(AND(OR(OR(ISBLANK(R85:R90)),AND(R85:R90="No")),R82="Yes",OR(T91="G",T91="R")),AND(ISBLANK(R85:R90),R82="Yes",T91="R"),AND(NOT(ISBLANK(R85:R90)),R82&lt;&gt;"Yes",T91="G")),"R","G")</f>
        <v>G</v>
      </c>
    </row>
    <row r="85" spans="2:20" x14ac:dyDescent="0.25">
      <c r="B85" s="46" t="s">
        <v>1000</v>
      </c>
      <c r="C85" s="46"/>
      <c r="E85" s="46" t="s">
        <v>1005</v>
      </c>
      <c r="F85" s="54"/>
      <c r="G85" s="54"/>
      <c r="H85" s="54"/>
      <c r="I85" s="54"/>
      <c r="J85" s="54"/>
      <c r="K85" s="54"/>
      <c r="L85" s="54"/>
      <c r="M85" s="54"/>
      <c r="N85" s="54"/>
      <c r="O85" s="54"/>
      <c r="P85" s="55"/>
      <c r="R85" s="16"/>
    </row>
    <row r="86" spans="2:20" x14ac:dyDescent="0.25">
      <c r="B86" s="46" t="s">
        <v>1001</v>
      </c>
      <c r="C86" s="46"/>
      <c r="E86" s="46" t="s">
        <v>1006</v>
      </c>
      <c r="F86" s="54"/>
      <c r="G86" s="54"/>
      <c r="H86" s="54"/>
      <c r="I86" s="54"/>
      <c r="J86" s="54"/>
      <c r="K86" s="54"/>
      <c r="L86" s="54"/>
      <c r="M86" s="54"/>
      <c r="N86" s="54"/>
      <c r="O86" s="54"/>
      <c r="P86" s="55"/>
      <c r="R86" s="16"/>
    </row>
    <row r="87" spans="2:20" x14ac:dyDescent="0.25">
      <c r="B87" s="46" t="s">
        <v>1002</v>
      </c>
      <c r="C87" s="46"/>
      <c r="E87" s="46" t="s">
        <v>1007</v>
      </c>
      <c r="F87" s="54"/>
      <c r="G87" s="54"/>
      <c r="H87" s="54"/>
      <c r="I87" s="54"/>
      <c r="J87" s="54"/>
      <c r="K87" s="54"/>
      <c r="L87" s="54"/>
      <c r="M87" s="54"/>
      <c r="N87" s="54"/>
      <c r="O87" s="54"/>
      <c r="P87" s="55"/>
      <c r="R87" s="16"/>
    </row>
    <row r="88" spans="2:20" x14ac:dyDescent="0.25">
      <c r="B88" s="46" t="s">
        <v>1003</v>
      </c>
      <c r="C88" s="46"/>
      <c r="E88" s="46" t="s">
        <v>1008</v>
      </c>
      <c r="F88" s="54"/>
      <c r="G88" s="54"/>
      <c r="H88" s="54"/>
      <c r="I88" s="54"/>
      <c r="J88" s="54"/>
      <c r="K88" s="54"/>
      <c r="L88" s="54"/>
      <c r="M88" s="54"/>
      <c r="N88" s="54"/>
      <c r="O88" s="54"/>
      <c r="P88" s="55"/>
      <c r="R88" s="16"/>
    </row>
    <row r="89" spans="2:20" x14ac:dyDescent="0.25">
      <c r="B89" s="46" t="s">
        <v>1004</v>
      </c>
      <c r="C89" s="46"/>
      <c r="E89" s="46" t="s">
        <v>1009</v>
      </c>
      <c r="F89" s="54"/>
      <c r="G89" s="54"/>
      <c r="H89" s="54"/>
      <c r="I89" s="54"/>
      <c r="J89" s="54"/>
      <c r="K89" s="54"/>
      <c r="L89" s="54"/>
      <c r="M89" s="54"/>
      <c r="N89" s="54"/>
      <c r="O89" s="54"/>
      <c r="P89" s="55"/>
      <c r="R89" s="16"/>
    </row>
    <row r="90" spans="2:20" x14ac:dyDescent="0.25">
      <c r="B90" s="46" t="s">
        <v>1010</v>
      </c>
      <c r="C90" s="46"/>
      <c r="E90" s="46" t="s">
        <v>1011</v>
      </c>
      <c r="F90" s="54"/>
      <c r="G90" s="54"/>
      <c r="H90" s="54"/>
      <c r="I90" s="54"/>
      <c r="J90" s="54"/>
      <c r="K90" s="54"/>
      <c r="L90" s="54"/>
      <c r="M90" s="54"/>
      <c r="N90" s="54"/>
      <c r="O90" s="54"/>
      <c r="P90" s="55"/>
      <c r="R90" s="16"/>
    </row>
    <row r="91" spans="2:20" x14ac:dyDescent="0.25">
      <c r="B91" s="56" t="s">
        <v>1013</v>
      </c>
      <c r="C91" s="56"/>
      <c r="E91" s="46"/>
      <c r="F91" s="54"/>
      <c r="G91" s="54"/>
      <c r="H91" s="54"/>
      <c r="I91" s="54"/>
      <c r="J91" s="54"/>
      <c r="K91" s="54"/>
      <c r="L91" s="54"/>
      <c r="M91" s="187" t="s">
        <v>999</v>
      </c>
      <c r="N91" s="187"/>
      <c r="O91" s="187"/>
      <c r="P91" s="187"/>
      <c r="R91" s="16"/>
      <c r="T91" s="11" t="str">
        <f>IF(OR(AND(ISBLANK(R91),R82="Yes",R90="Yes"),AND(ISBLANK(R91),R82="Yes",R90="Yes"),AND(NOT(ISBLANK(R91)),R82="Yes",R90&lt;&gt;"Yes"),AND(NOT(ISBLANK(R91)),R82&lt;&gt;"Yes",R90&lt;&gt;"Yes")),"R","G")</f>
        <v>G</v>
      </c>
    </row>
    <row r="92" spans="2:20" x14ac:dyDescent="0.25">
      <c r="E92" s="54"/>
      <c r="F92" s="54"/>
      <c r="G92" s="54"/>
      <c r="H92" s="54"/>
      <c r="I92" s="54"/>
      <c r="J92" s="54"/>
      <c r="K92" s="54"/>
      <c r="L92" s="54"/>
      <c r="M92" s="54"/>
      <c r="N92" s="54"/>
      <c r="O92" s="54"/>
      <c r="P92" s="55"/>
    </row>
    <row r="93" spans="2:20" ht="60.75" customHeight="1" x14ac:dyDescent="0.25">
      <c r="B93" s="15" t="s">
        <v>592</v>
      </c>
      <c r="D93" s="184" t="s">
        <v>1344</v>
      </c>
      <c r="E93" s="184"/>
      <c r="F93" s="184"/>
      <c r="G93" s="184"/>
      <c r="H93" s="184"/>
      <c r="I93" s="184"/>
      <c r="J93" s="184"/>
      <c r="K93" s="184"/>
      <c r="L93" s="184"/>
      <c r="M93" s="184"/>
      <c r="N93" s="184"/>
      <c r="O93" s="184"/>
      <c r="P93" s="55"/>
      <c r="R93" s="67"/>
      <c r="T93" s="11" t="str">
        <f>IF(OR(AND(ISBLANK(R93),$R$82="Yes"),AND(NOT(ISBLANK(R93)),$R$82&lt;&gt;"Yes")),"R","G")</f>
        <v>G</v>
      </c>
    </row>
    <row r="94" spans="2:20" x14ac:dyDescent="0.25">
      <c r="E94" s="54"/>
      <c r="F94" s="54"/>
      <c r="G94" s="54"/>
      <c r="H94" s="54"/>
      <c r="I94" s="54"/>
      <c r="J94" s="54"/>
      <c r="K94" s="54"/>
      <c r="L94" s="54"/>
      <c r="M94" s="54"/>
      <c r="N94" s="10"/>
      <c r="O94" s="10"/>
      <c r="P94" s="50"/>
      <c r="R94" s="45"/>
      <c r="T94" s="11"/>
    </row>
    <row r="95" spans="2:20" ht="31.5" customHeight="1" x14ac:dyDescent="0.25">
      <c r="B95" s="15" t="s">
        <v>593</v>
      </c>
      <c r="D95" s="184" t="s">
        <v>1224</v>
      </c>
      <c r="E95" s="184"/>
      <c r="F95" s="184"/>
      <c r="G95" s="184"/>
      <c r="H95" s="184"/>
      <c r="I95" s="184"/>
      <c r="J95" s="184"/>
      <c r="K95" s="184"/>
      <c r="L95" s="184"/>
      <c r="M95" s="184"/>
      <c r="N95" s="184"/>
      <c r="O95" s="184"/>
      <c r="P95" s="45" t="s">
        <v>985</v>
      </c>
      <c r="R95" s="17"/>
      <c r="T95" s="11" t="str">
        <f>IF(OR(AND(ISBLANK(R95),$R$82="Yes"),AND(NOT(ISBLANK(R95)),$R$82&lt;&gt;"Yes")),"R","G")</f>
        <v>G</v>
      </c>
    </row>
    <row r="96" spans="2:20" x14ac:dyDescent="0.25">
      <c r="E96" s="54"/>
      <c r="F96" s="54"/>
      <c r="G96" s="54"/>
      <c r="H96" s="54"/>
      <c r="I96" s="54"/>
      <c r="J96" s="54"/>
      <c r="K96" s="54"/>
      <c r="L96" s="54"/>
      <c r="M96" s="54"/>
      <c r="N96" s="54"/>
      <c r="O96" s="54"/>
      <c r="P96" s="55"/>
      <c r="R96" s="45"/>
    </row>
    <row r="97" spans="2:20" ht="30" customHeight="1" x14ac:dyDescent="0.25">
      <c r="B97" s="15" t="s">
        <v>594</v>
      </c>
      <c r="D97" s="184" t="s">
        <v>1223</v>
      </c>
      <c r="E97" s="184"/>
      <c r="F97" s="184"/>
      <c r="G97" s="184"/>
      <c r="H97" s="184"/>
      <c r="I97" s="184"/>
      <c r="J97" s="184"/>
      <c r="K97" s="184"/>
      <c r="L97" s="184"/>
      <c r="M97" s="184"/>
      <c r="N97" s="184"/>
      <c r="O97" s="184"/>
      <c r="P97" s="45" t="s">
        <v>985</v>
      </c>
      <c r="R97" s="17"/>
      <c r="T97" s="11" t="str">
        <f>IF(OR(AND(ISBLANK(R97),$R$82="Yes"),AND(NOT(ISBLANK(R97)),$R$82&lt;&gt;"Yes")),"R","G")</f>
        <v>G</v>
      </c>
    </row>
    <row r="98" spans="2:20" x14ac:dyDescent="0.25">
      <c r="E98" s="54"/>
      <c r="F98" s="54"/>
      <c r="G98" s="54"/>
      <c r="H98" s="54"/>
      <c r="I98" s="54"/>
      <c r="J98" s="54"/>
      <c r="K98" s="54"/>
      <c r="L98" s="54"/>
      <c r="M98" s="54"/>
      <c r="N98" s="54"/>
      <c r="O98" s="54"/>
      <c r="P98" s="55"/>
      <c r="R98" s="45"/>
    </row>
    <row r="99" spans="2:20" ht="33" customHeight="1" x14ac:dyDescent="0.25">
      <c r="B99" s="15" t="s">
        <v>595</v>
      </c>
      <c r="D99" s="184" t="s">
        <v>1210</v>
      </c>
      <c r="E99" s="184"/>
      <c r="F99" s="184"/>
      <c r="G99" s="184"/>
      <c r="H99" s="184"/>
      <c r="I99" s="184"/>
      <c r="J99" s="184"/>
      <c r="K99" s="184"/>
      <c r="L99" s="184"/>
      <c r="M99" s="184"/>
      <c r="N99" s="184"/>
      <c r="O99" s="184"/>
      <c r="P99" s="55"/>
      <c r="R99" s="16"/>
      <c r="T99" s="11" t="str">
        <f>IF(OR(AND(ISBLANK(R99),Payment="Yes"),AND(NOT(ISBLANK(R99)),Payment&lt;&gt;"Yes")),"R","G")</f>
        <v>G</v>
      </c>
    </row>
    <row r="100" spans="2:20" ht="30" customHeight="1" x14ac:dyDescent="0.25">
      <c r="B100" s="57" t="s">
        <v>1016</v>
      </c>
      <c r="C100" s="57"/>
      <c r="E100" s="54"/>
      <c r="F100" s="54"/>
      <c r="G100" s="54"/>
      <c r="H100" s="54"/>
      <c r="I100" s="54"/>
      <c r="J100" s="54"/>
      <c r="K100" s="54"/>
      <c r="L100" s="54"/>
      <c r="M100" s="187" t="s">
        <v>1015</v>
      </c>
      <c r="N100" s="187"/>
      <c r="O100" s="187"/>
      <c r="P100" s="187"/>
      <c r="R100" s="16"/>
      <c r="T100" s="11" t="str">
        <f>IF(OR(AND(R99&lt;&gt;"Yes",NOT(ISBLANK(R100))),AND(R99="Yes",ISBLANK(R100))),"R","G")</f>
        <v>G</v>
      </c>
    </row>
    <row r="101" spans="2:20" x14ac:dyDescent="0.25">
      <c r="E101" s="54"/>
      <c r="F101" s="54"/>
      <c r="G101" s="54"/>
      <c r="H101" s="54"/>
      <c r="I101" s="54"/>
      <c r="J101" s="54"/>
      <c r="K101" s="54"/>
      <c r="L101" s="54"/>
      <c r="M101" s="54"/>
      <c r="N101" s="54"/>
      <c r="O101" s="54"/>
      <c r="P101" s="55"/>
    </row>
    <row r="102" spans="2:20" ht="33.75" customHeight="1" x14ac:dyDescent="0.25">
      <c r="B102" s="15" t="s">
        <v>596</v>
      </c>
      <c r="D102" s="184" t="s">
        <v>1211</v>
      </c>
      <c r="E102" s="184"/>
      <c r="F102" s="184"/>
      <c r="G102" s="184"/>
      <c r="H102" s="184"/>
      <c r="I102" s="184"/>
      <c r="J102" s="184"/>
      <c r="K102" s="184"/>
      <c r="L102" s="184"/>
      <c r="M102" s="184"/>
      <c r="N102" s="184"/>
      <c r="O102" s="184"/>
      <c r="P102" s="55"/>
      <c r="R102" s="16"/>
      <c r="T102" s="11" t="str">
        <f>IF(OR(AND(ISBLANK(R102),Payment="Yes"),AND(NOT(ISBLANK(R102)),Payment&lt;&gt;"Yes")),"R","G")</f>
        <v>G</v>
      </c>
    </row>
    <row r="103" spans="2:20" ht="29.25" customHeight="1" x14ac:dyDescent="0.25">
      <c r="B103" s="57" t="s">
        <v>1019</v>
      </c>
      <c r="C103" s="57"/>
      <c r="E103" s="54"/>
      <c r="F103" s="54"/>
      <c r="G103" s="54"/>
      <c r="H103" s="54"/>
      <c r="I103" s="54"/>
      <c r="J103" s="54"/>
      <c r="K103" s="54"/>
      <c r="L103" s="54"/>
      <c r="M103" s="187" t="s">
        <v>1015</v>
      </c>
      <c r="N103" s="187"/>
      <c r="O103" s="187"/>
      <c r="P103" s="187"/>
      <c r="R103" s="16"/>
      <c r="T103" s="11" t="str">
        <f>IF(OR(AND(R102&lt;&gt;"Yes",NOT(ISBLANK(R103))),AND(R102="Yes",ISBLANK(R103))),"R","G")</f>
        <v>G</v>
      </c>
    </row>
    <row r="104" spans="2:20" x14ac:dyDescent="0.25">
      <c r="E104" s="54"/>
      <c r="F104" s="54"/>
      <c r="G104" s="54"/>
      <c r="H104" s="54"/>
      <c r="I104" s="54"/>
      <c r="J104" s="54"/>
      <c r="K104" s="54"/>
      <c r="L104" s="54"/>
      <c r="M104" s="54"/>
      <c r="N104" s="54"/>
      <c r="O104" s="54"/>
      <c r="P104" s="55"/>
      <c r="T104" s="11"/>
    </row>
    <row r="105" spans="2:20" ht="63" customHeight="1" x14ac:dyDescent="0.25">
      <c r="B105" s="15" t="s">
        <v>597</v>
      </c>
      <c r="D105" s="184" t="s">
        <v>1345</v>
      </c>
      <c r="E105" s="184"/>
      <c r="F105" s="184"/>
      <c r="G105" s="184"/>
      <c r="H105" s="184"/>
      <c r="I105" s="184"/>
      <c r="J105" s="184"/>
      <c r="K105" s="184"/>
      <c r="L105" s="184"/>
      <c r="M105" s="184"/>
      <c r="N105" s="184"/>
      <c r="O105" s="184"/>
      <c r="P105" s="45" t="s">
        <v>985</v>
      </c>
      <c r="R105" s="17"/>
      <c r="T105" s="11" t="str">
        <f>IF(OR(AND(ISBLANK(R105),OR($R$99="Yes",$R$99="No")),AND(NOT(ISBLANK(R105)),AND($R$99&lt;&gt;"Yes",$R$99&lt;&gt;"No"))),"R","G")</f>
        <v>G</v>
      </c>
    </row>
    <row r="106" spans="2:20" x14ac:dyDescent="0.25">
      <c r="E106" s="54"/>
      <c r="F106" s="54"/>
      <c r="G106" s="54"/>
      <c r="H106" s="54"/>
      <c r="I106" s="54"/>
      <c r="J106" s="54"/>
      <c r="K106" s="54"/>
      <c r="L106" s="54"/>
      <c r="M106" s="54"/>
      <c r="N106" s="54"/>
      <c r="O106" s="54"/>
      <c r="P106" s="55"/>
      <c r="T106" s="11"/>
    </row>
    <row r="107" spans="2:20" ht="32.25" customHeight="1" x14ac:dyDescent="0.25">
      <c r="B107" s="15" t="s">
        <v>598</v>
      </c>
      <c r="D107" s="184" t="s">
        <v>799</v>
      </c>
      <c r="E107" s="184"/>
      <c r="F107" s="184"/>
      <c r="G107" s="184"/>
      <c r="H107" s="184"/>
      <c r="I107" s="184"/>
      <c r="J107" s="184"/>
      <c r="K107" s="184"/>
      <c r="L107" s="184"/>
      <c r="M107" s="184"/>
      <c r="N107" s="184"/>
      <c r="O107" s="184"/>
      <c r="P107" s="45" t="s">
        <v>985</v>
      </c>
      <c r="R107" s="17"/>
      <c r="T107" s="11" t="str">
        <f>IF(OR(AND(ISBLANK(R107),OR($R$99="Yes",$R$99="No")),AND(NOT(ISBLANK(R107)),AND($R$99&lt;&gt;"Yes",$R$99&lt;&gt;"No"))),"R","G")</f>
        <v>G</v>
      </c>
    </row>
    <row r="108" spans="2:20" x14ac:dyDescent="0.25">
      <c r="E108" s="54"/>
      <c r="F108" s="54"/>
      <c r="G108" s="54"/>
      <c r="H108" s="54"/>
      <c r="I108" s="54"/>
      <c r="J108" s="54"/>
      <c r="K108" s="54"/>
      <c r="L108" s="54"/>
      <c r="M108" s="54"/>
      <c r="N108" s="54"/>
      <c r="O108" s="54"/>
      <c r="P108" s="55"/>
      <c r="T108" s="11"/>
    </row>
    <row r="109" spans="2:20" ht="27" customHeight="1" x14ac:dyDescent="0.25">
      <c r="B109" s="15" t="s">
        <v>599</v>
      </c>
      <c r="D109" s="184" t="s">
        <v>1212</v>
      </c>
      <c r="E109" s="184"/>
      <c r="F109" s="184"/>
      <c r="G109" s="184"/>
      <c r="H109" s="184"/>
      <c r="I109" s="184"/>
      <c r="J109" s="184"/>
      <c r="K109" s="184"/>
      <c r="L109" s="184"/>
      <c r="M109" s="184"/>
      <c r="N109" s="184"/>
      <c r="O109" s="184"/>
      <c r="P109" s="45" t="s">
        <v>985</v>
      </c>
      <c r="R109" s="17"/>
      <c r="T109" s="11" t="str">
        <f>IF(OR(AND(ISBLANK(R109),OR($R$99="Yes",$R$99="No")),AND(NOT(ISBLANK(R109)),AND($R$99&lt;&gt;"Yes",$R$99&lt;&gt;"No"))),"R","G")</f>
        <v>G</v>
      </c>
    </row>
    <row r="110" spans="2:20" x14ac:dyDescent="0.25">
      <c r="E110" s="54"/>
      <c r="F110" s="54"/>
      <c r="G110" s="54"/>
      <c r="H110" s="54"/>
      <c r="I110" s="54"/>
      <c r="J110" s="54"/>
      <c r="K110" s="54"/>
      <c r="L110" s="54"/>
      <c r="M110" s="54"/>
      <c r="N110" s="54"/>
      <c r="O110" s="54"/>
      <c r="P110" s="55"/>
      <c r="T110" s="11"/>
    </row>
    <row r="111" spans="2:20" ht="37.5" customHeight="1" x14ac:dyDescent="0.25">
      <c r="B111" s="15" t="s">
        <v>600</v>
      </c>
      <c r="D111" s="184" t="s">
        <v>800</v>
      </c>
      <c r="E111" s="184"/>
      <c r="F111" s="184"/>
      <c r="G111" s="184"/>
      <c r="H111" s="184"/>
      <c r="I111" s="184"/>
      <c r="J111" s="184"/>
      <c r="K111" s="184"/>
      <c r="L111" s="184"/>
      <c r="M111" s="184"/>
      <c r="N111" s="184"/>
      <c r="O111" s="184"/>
      <c r="P111" s="45" t="s">
        <v>985</v>
      </c>
      <c r="R111" s="17"/>
      <c r="T111" s="11" t="str">
        <f>IF(OR(AND(ISBLANK(R111),OR($R$99="Yes",$R$99="No")),AND(NOT(ISBLANK(R111)),AND($R$99&lt;&gt;"Yes",$R$99&lt;&gt;"No"))),"R","G")</f>
        <v>G</v>
      </c>
    </row>
    <row r="112" spans="2:20" x14ac:dyDescent="0.25">
      <c r="E112" s="54"/>
      <c r="F112" s="54"/>
      <c r="G112" s="54"/>
      <c r="H112" s="54"/>
      <c r="I112" s="54"/>
      <c r="J112" s="54"/>
      <c r="K112" s="54"/>
      <c r="L112" s="54"/>
      <c r="M112" s="54"/>
      <c r="N112" s="54"/>
      <c r="O112" s="54"/>
      <c r="P112" s="55"/>
      <c r="T112" s="11"/>
    </row>
    <row r="113" spans="2:20" ht="33" customHeight="1" x14ac:dyDescent="0.25">
      <c r="B113" s="15" t="s">
        <v>601</v>
      </c>
      <c r="D113" s="184" t="s">
        <v>801</v>
      </c>
      <c r="E113" s="184"/>
      <c r="F113" s="184"/>
      <c r="G113" s="184"/>
      <c r="H113" s="184"/>
      <c r="I113" s="184"/>
      <c r="J113" s="184"/>
      <c r="K113" s="184"/>
      <c r="L113" s="184"/>
      <c r="M113" s="184"/>
      <c r="N113" s="184"/>
      <c r="O113" s="184"/>
      <c r="P113" s="45" t="s">
        <v>985</v>
      </c>
      <c r="R113" s="17"/>
      <c r="T113" s="11" t="str">
        <f>IF(OR(AND(ISBLANK(R113),OR($R$99="Yes",$R$99="No")),AND(NOT(ISBLANK(R113)),AND($R$99&lt;&gt;"Yes",$R$99&lt;&gt;"No"))),"R","G")</f>
        <v>G</v>
      </c>
    </row>
    <row r="114" spans="2:20" x14ac:dyDescent="0.25">
      <c r="E114" s="54"/>
      <c r="F114" s="54"/>
      <c r="G114" s="54"/>
      <c r="H114" s="54"/>
      <c r="I114" s="54"/>
      <c r="J114" s="54"/>
      <c r="K114" s="54"/>
      <c r="L114" s="54"/>
      <c r="M114" s="54"/>
      <c r="N114" s="54"/>
      <c r="O114" s="54"/>
      <c r="P114" s="55"/>
    </row>
    <row r="115" spans="2:20" ht="15" customHeight="1" x14ac:dyDescent="0.25">
      <c r="B115" s="15" t="s">
        <v>602</v>
      </c>
      <c r="D115" s="184" t="s">
        <v>802</v>
      </c>
      <c r="E115" s="184"/>
      <c r="F115" s="184"/>
      <c r="G115" s="184"/>
      <c r="H115" s="184"/>
      <c r="I115" s="184"/>
      <c r="J115" s="184"/>
      <c r="K115" s="184"/>
      <c r="L115" s="184"/>
      <c r="M115" s="184"/>
      <c r="N115" s="184"/>
      <c r="O115" s="184"/>
      <c r="P115" s="55"/>
      <c r="R115" s="16"/>
      <c r="T115" s="11" t="str">
        <f>IF(OR(AND(ISBLANK(R115),Payment="Yes"),AND(NOT(ISBLANK(R115)),Payment&lt;&gt;"Yes")),"R","G")</f>
        <v>G</v>
      </c>
    </row>
    <row r="116" spans="2:20" x14ac:dyDescent="0.25">
      <c r="E116" s="54"/>
      <c r="F116" s="54"/>
      <c r="G116" s="54"/>
      <c r="H116" s="54"/>
      <c r="I116" s="54"/>
      <c r="J116" s="54"/>
      <c r="K116" s="54"/>
      <c r="L116" s="54"/>
      <c r="M116" s="54"/>
      <c r="N116" s="54"/>
      <c r="O116" s="54"/>
      <c r="P116" s="55"/>
      <c r="T116" s="11"/>
    </row>
    <row r="117" spans="2:20" ht="46.5" customHeight="1" x14ac:dyDescent="0.25">
      <c r="B117" s="15" t="s">
        <v>603</v>
      </c>
      <c r="D117" s="184" t="s">
        <v>1346</v>
      </c>
      <c r="E117" s="184"/>
      <c r="F117" s="184"/>
      <c r="G117" s="184"/>
      <c r="H117" s="184"/>
      <c r="I117" s="184"/>
      <c r="J117" s="184"/>
      <c r="K117" s="184"/>
      <c r="L117" s="184"/>
      <c r="M117" s="184"/>
      <c r="N117" s="184"/>
      <c r="O117" s="184"/>
      <c r="P117" s="45" t="s">
        <v>985</v>
      </c>
      <c r="R117" s="17"/>
      <c r="T117" s="11" t="str">
        <f>IF(OR(AND(ISBLANK(R117),$R$115="Yes"),AND(NOT(ISBLANK(R117)),$R$115&lt;&gt;"Yes")),"R","G")</f>
        <v>G</v>
      </c>
    </row>
    <row r="118" spans="2:20" x14ac:dyDescent="0.25">
      <c r="E118" s="54"/>
      <c r="F118" s="54"/>
      <c r="G118" s="54"/>
      <c r="H118" s="54"/>
      <c r="I118" s="54"/>
      <c r="J118" s="54"/>
      <c r="K118" s="54"/>
      <c r="L118" s="54"/>
      <c r="M118" s="54"/>
      <c r="N118" s="54"/>
      <c r="O118" s="54"/>
      <c r="P118" s="55"/>
    </row>
    <row r="119" spans="2:20" ht="47.25" customHeight="1" x14ac:dyDescent="0.25">
      <c r="B119" s="15" t="s">
        <v>604</v>
      </c>
      <c r="D119" s="184" t="s">
        <v>1347</v>
      </c>
      <c r="E119" s="184"/>
      <c r="F119" s="184"/>
      <c r="G119" s="184"/>
      <c r="H119" s="184"/>
      <c r="I119" s="184"/>
      <c r="J119" s="184"/>
      <c r="K119" s="184"/>
      <c r="L119" s="184"/>
      <c r="M119" s="184"/>
      <c r="N119" s="184"/>
      <c r="O119" s="184"/>
      <c r="P119" s="45" t="s">
        <v>985</v>
      </c>
      <c r="R119" s="17"/>
      <c r="T119" s="11" t="str">
        <f>IF(OR(AND(ISBLANK(R119),$R$115="Yes"),AND(NOT(ISBLANK(R119)),$R$115&lt;&gt;"Yes")),"R","G")</f>
        <v>G</v>
      </c>
    </row>
    <row r="120" spans="2:20" x14ac:dyDescent="0.25">
      <c r="E120" s="54"/>
      <c r="F120" s="54"/>
      <c r="G120" s="54"/>
      <c r="H120" s="54"/>
      <c r="I120" s="54"/>
      <c r="J120" s="54"/>
      <c r="K120" s="54"/>
      <c r="L120" s="54"/>
      <c r="M120" s="54"/>
      <c r="N120" s="54"/>
      <c r="O120" s="54"/>
      <c r="P120" s="55"/>
    </row>
    <row r="121" spans="2:20" ht="15" customHeight="1" x14ac:dyDescent="0.25">
      <c r="B121" s="15" t="s">
        <v>605</v>
      </c>
      <c r="D121" s="184" t="s">
        <v>803</v>
      </c>
      <c r="E121" s="184"/>
      <c r="F121" s="184"/>
      <c r="G121" s="184"/>
      <c r="H121" s="184"/>
      <c r="I121" s="184"/>
      <c r="J121" s="184"/>
      <c r="K121" s="184"/>
      <c r="L121" s="184"/>
      <c r="M121" s="184"/>
      <c r="N121" s="184"/>
      <c r="O121" s="184"/>
      <c r="P121" s="55"/>
      <c r="R121" s="16"/>
      <c r="T121" s="11" t="str">
        <f>IF(OR(AND(ISBLANK(R121),$R$115="Yes"),AND(NOT(ISBLANK(R121)),$R$115&lt;&gt;"Yes")),"R","G")</f>
        <v>G</v>
      </c>
    </row>
    <row r="122" spans="2:20" x14ac:dyDescent="0.25">
      <c r="E122" s="54"/>
      <c r="F122" s="54"/>
      <c r="G122" s="54"/>
      <c r="H122" s="54"/>
      <c r="I122" s="54"/>
      <c r="J122" s="54"/>
      <c r="K122" s="54"/>
      <c r="L122" s="54"/>
      <c r="M122" s="54"/>
      <c r="N122" s="54"/>
      <c r="O122" s="54"/>
      <c r="P122" s="55"/>
    </row>
    <row r="123" spans="2:20" ht="30.75" customHeight="1" x14ac:dyDescent="0.25">
      <c r="B123" s="15" t="s">
        <v>606</v>
      </c>
      <c r="D123" s="184" t="s">
        <v>804</v>
      </c>
      <c r="E123" s="184"/>
      <c r="F123" s="184"/>
      <c r="G123" s="184"/>
      <c r="H123" s="184"/>
      <c r="I123" s="184"/>
      <c r="J123" s="184"/>
      <c r="K123" s="184"/>
      <c r="L123" s="184"/>
      <c r="M123" s="184"/>
      <c r="N123" s="184"/>
      <c r="O123" s="184"/>
      <c r="P123" s="45" t="s">
        <v>985</v>
      </c>
      <c r="R123" s="17"/>
      <c r="T123" s="11" t="str">
        <f>IF(OR(AND(ISBLANK(R123),$R$121="Yes"),AND(NOT(ISBLANK(R123)),$R$121&lt;&gt;"Yes")),"R","G")</f>
        <v>G</v>
      </c>
    </row>
    <row r="124" spans="2:20" x14ac:dyDescent="0.25">
      <c r="E124" s="54"/>
      <c r="F124" s="54"/>
      <c r="G124" s="54"/>
      <c r="H124" s="54"/>
      <c r="I124" s="54"/>
      <c r="J124" s="54"/>
      <c r="K124" s="54"/>
      <c r="L124" s="54"/>
      <c r="M124" s="54"/>
      <c r="N124" s="54"/>
      <c r="O124" s="54"/>
      <c r="P124" s="55"/>
    </row>
    <row r="125" spans="2:20" ht="15" customHeight="1" x14ac:dyDescent="0.25">
      <c r="B125" s="15" t="s">
        <v>607</v>
      </c>
      <c r="D125" s="184" t="s">
        <v>805</v>
      </c>
      <c r="E125" s="184"/>
      <c r="F125" s="184"/>
      <c r="G125" s="184"/>
      <c r="H125" s="184"/>
      <c r="I125" s="184"/>
      <c r="J125" s="184"/>
      <c r="K125" s="184"/>
      <c r="L125" s="184"/>
      <c r="M125" s="184"/>
      <c r="N125" s="184"/>
      <c r="O125" s="184"/>
      <c r="P125" s="55"/>
      <c r="R125" s="16"/>
      <c r="T125" s="11" t="str">
        <f>IF(OR(AND(ISBLANK(R125),$R$115="Yes"),AND(NOT(ISBLANK(R125)),$R$115&lt;&gt;"Yes")),"R","G")</f>
        <v>G</v>
      </c>
    </row>
    <row r="126" spans="2:20" x14ac:dyDescent="0.25">
      <c r="E126" s="54"/>
      <c r="F126" s="54"/>
      <c r="G126" s="54"/>
      <c r="H126" s="54"/>
      <c r="I126" s="54"/>
      <c r="J126" s="54"/>
      <c r="K126" s="54"/>
      <c r="L126" s="54"/>
      <c r="M126" s="54"/>
      <c r="N126" s="54"/>
      <c r="O126" s="54"/>
      <c r="P126" s="55"/>
    </row>
    <row r="127" spans="2:20" ht="29.25" customHeight="1" x14ac:dyDescent="0.25">
      <c r="B127" s="15" t="s">
        <v>608</v>
      </c>
      <c r="D127" s="184" t="s">
        <v>806</v>
      </c>
      <c r="E127" s="184"/>
      <c r="F127" s="184"/>
      <c r="G127" s="184"/>
      <c r="H127" s="184"/>
      <c r="I127" s="184"/>
      <c r="J127" s="184"/>
      <c r="K127" s="184"/>
      <c r="L127" s="184"/>
      <c r="M127" s="184"/>
      <c r="N127" s="184"/>
      <c r="O127" s="184"/>
      <c r="P127" s="45" t="s">
        <v>985</v>
      </c>
      <c r="R127" s="17"/>
      <c r="T127" s="11" t="str">
        <f>IF(OR(AND(ISBLANK(R127),$R$125="Yes"),AND(NOT(ISBLANK(R127)),$R$125&lt;&gt;"Yes")),"R","G")</f>
        <v>G</v>
      </c>
    </row>
    <row r="128" spans="2:20" x14ac:dyDescent="0.25">
      <c r="E128" s="54"/>
      <c r="F128" s="54"/>
      <c r="G128" s="54"/>
      <c r="H128" s="54"/>
      <c r="I128" s="54"/>
      <c r="J128" s="54"/>
      <c r="K128" s="54"/>
      <c r="L128" s="54"/>
      <c r="M128" s="54"/>
      <c r="N128" s="54"/>
      <c r="O128" s="54"/>
      <c r="P128" s="55"/>
    </row>
    <row r="129" spans="2:20" ht="15" customHeight="1" x14ac:dyDescent="0.25">
      <c r="B129" s="15" t="s">
        <v>609</v>
      </c>
      <c r="D129" s="184" t="s">
        <v>807</v>
      </c>
      <c r="E129" s="184"/>
      <c r="F129" s="184"/>
      <c r="G129" s="184"/>
      <c r="H129" s="184"/>
      <c r="I129" s="184"/>
      <c r="J129" s="184"/>
      <c r="K129" s="184"/>
      <c r="L129" s="184"/>
      <c r="M129" s="184"/>
      <c r="N129" s="184"/>
      <c r="O129" s="184"/>
      <c r="P129" s="55"/>
      <c r="R129" s="16"/>
      <c r="T129" s="11" t="str">
        <f>IF(OR(AND(ISBLANK(R129),$R$115="Yes"),AND(NOT(ISBLANK(R129)),$R$115&lt;&gt;"Yes")),"R","G")</f>
        <v>G</v>
      </c>
    </row>
    <row r="130" spans="2:20" x14ac:dyDescent="0.25">
      <c r="E130" s="54"/>
      <c r="F130" s="54"/>
      <c r="G130" s="54"/>
      <c r="H130" s="54"/>
      <c r="I130" s="54"/>
      <c r="J130" s="54"/>
      <c r="K130" s="54"/>
      <c r="L130" s="54"/>
      <c r="M130" s="54"/>
      <c r="N130" s="54"/>
      <c r="O130" s="54"/>
      <c r="P130" s="55"/>
    </row>
    <row r="131" spans="2:20" ht="28.5" customHeight="1" x14ac:dyDescent="0.25">
      <c r="B131" s="15" t="s">
        <v>610</v>
      </c>
      <c r="D131" s="184" t="s">
        <v>808</v>
      </c>
      <c r="E131" s="184"/>
      <c r="F131" s="184"/>
      <c r="G131" s="184"/>
      <c r="H131" s="184"/>
      <c r="I131" s="184"/>
      <c r="J131" s="184"/>
      <c r="K131" s="184"/>
      <c r="L131" s="184"/>
      <c r="M131" s="184"/>
      <c r="N131" s="184"/>
      <c r="O131" s="184"/>
      <c r="P131" s="45" t="s">
        <v>985</v>
      </c>
      <c r="R131" s="17"/>
      <c r="T131" s="11" t="str">
        <f>IF(OR(AND(ISBLANK(R131),$R$129="Yes"),AND(NOT(ISBLANK(R131)),$R$129&lt;&gt;"Yes")),"R","G")</f>
        <v>G</v>
      </c>
    </row>
    <row r="132" spans="2:20" x14ac:dyDescent="0.25">
      <c r="E132" s="54"/>
      <c r="F132" s="54"/>
      <c r="G132" s="54"/>
      <c r="H132" s="54"/>
      <c r="I132" s="54"/>
      <c r="J132" s="54"/>
      <c r="K132" s="54"/>
      <c r="L132" s="54"/>
      <c r="M132" s="54"/>
      <c r="N132" s="54"/>
      <c r="O132" s="54"/>
      <c r="P132" s="55"/>
    </row>
    <row r="133" spans="2:20" ht="15" customHeight="1" x14ac:dyDescent="0.25">
      <c r="B133" s="15" t="s">
        <v>611</v>
      </c>
      <c r="D133" s="184" t="s">
        <v>809</v>
      </c>
      <c r="E133" s="184"/>
      <c r="F133" s="184"/>
      <c r="G133" s="184"/>
      <c r="H133" s="184"/>
      <c r="I133" s="184"/>
      <c r="J133" s="184"/>
      <c r="K133" s="184"/>
      <c r="L133" s="184"/>
      <c r="M133" s="184"/>
      <c r="N133" s="184"/>
      <c r="O133" s="184"/>
      <c r="P133" s="55"/>
      <c r="R133" s="16"/>
      <c r="T133" s="11" t="str">
        <f>IF(OR(AND(ISBLANK(R133),$R$115="Yes"),AND(NOT(ISBLANK(R133)),$R$115&lt;&gt;"Yes")),"R","G")</f>
        <v>G</v>
      </c>
    </row>
    <row r="134" spans="2:20" x14ac:dyDescent="0.25">
      <c r="E134" s="54"/>
      <c r="F134" s="54"/>
      <c r="G134" s="54"/>
      <c r="H134" s="54"/>
      <c r="I134" s="54"/>
      <c r="J134" s="54"/>
      <c r="K134" s="54"/>
      <c r="L134" s="54"/>
      <c r="M134" s="54"/>
      <c r="N134" s="54"/>
      <c r="O134" s="54"/>
      <c r="P134" s="55"/>
    </row>
    <row r="135" spans="2:20" ht="15" customHeight="1" x14ac:dyDescent="0.25">
      <c r="B135" s="15" t="s">
        <v>612</v>
      </c>
      <c r="D135" s="184" t="s">
        <v>810</v>
      </c>
      <c r="E135" s="184"/>
      <c r="F135" s="184"/>
      <c r="G135" s="184"/>
      <c r="H135" s="184"/>
      <c r="I135" s="184"/>
      <c r="J135" s="184"/>
      <c r="K135" s="184"/>
      <c r="L135" s="184"/>
      <c r="M135" s="184"/>
      <c r="N135" s="184"/>
      <c r="O135" s="184"/>
      <c r="P135" s="45" t="s">
        <v>985</v>
      </c>
      <c r="R135" s="17"/>
      <c r="T135" s="11" t="str">
        <f>IF(OR(AND(ISBLANK(R135),$R$133="Yes"),AND(NOT(ISBLANK(R135)),$R$133&lt;&gt;"Yes")),"R","G")</f>
        <v>G</v>
      </c>
    </row>
    <row r="136" spans="2:20" x14ac:dyDescent="0.25">
      <c r="E136" s="54"/>
      <c r="F136" s="54"/>
      <c r="G136" s="54"/>
      <c r="H136" s="54"/>
      <c r="I136" s="54"/>
      <c r="J136" s="54"/>
      <c r="K136" s="54"/>
      <c r="L136" s="54"/>
      <c r="M136" s="54"/>
      <c r="N136" s="54"/>
      <c r="O136" s="54"/>
      <c r="P136" s="55"/>
    </row>
    <row r="137" spans="2:20" ht="31.5" customHeight="1" x14ac:dyDescent="0.25">
      <c r="B137" s="15" t="s">
        <v>613</v>
      </c>
      <c r="D137" s="184" t="s">
        <v>1213</v>
      </c>
      <c r="E137" s="184"/>
      <c r="F137" s="184"/>
      <c r="G137" s="184"/>
      <c r="H137" s="184"/>
      <c r="I137" s="184"/>
      <c r="J137" s="184"/>
      <c r="K137" s="184"/>
      <c r="L137" s="184"/>
      <c r="M137" s="184"/>
      <c r="N137" s="184"/>
      <c r="O137" s="184"/>
      <c r="P137" s="55"/>
      <c r="R137" s="67"/>
      <c r="T137" s="11" t="str">
        <f>IF(OR(AND(ISBLANK(R137),$R$115="Yes"),AND(NOT(ISBLANK(R137)),$R$115&lt;&gt;"Yes")),"R","G")</f>
        <v>G</v>
      </c>
    </row>
    <row r="138" spans="2:20" x14ac:dyDescent="0.25">
      <c r="E138" s="54"/>
      <c r="F138" s="54"/>
      <c r="G138" s="54"/>
      <c r="H138" s="54"/>
      <c r="I138" s="54"/>
      <c r="J138" s="54"/>
      <c r="K138" s="54"/>
      <c r="L138" s="54"/>
      <c r="M138" s="54"/>
      <c r="N138" s="54"/>
      <c r="O138" s="54"/>
      <c r="P138" s="55"/>
    </row>
    <row r="139" spans="2:20" ht="31.5" customHeight="1" x14ac:dyDescent="0.25">
      <c r="B139" s="15" t="s">
        <v>614</v>
      </c>
      <c r="D139" s="184" t="s">
        <v>1214</v>
      </c>
      <c r="E139" s="184"/>
      <c r="F139" s="184"/>
      <c r="G139" s="184"/>
      <c r="H139" s="184"/>
      <c r="I139" s="184"/>
      <c r="J139" s="184"/>
      <c r="K139" s="184"/>
      <c r="L139" s="184"/>
      <c r="M139" s="184"/>
      <c r="N139" s="184"/>
      <c r="O139" s="184"/>
      <c r="P139" s="55"/>
      <c r="R139" s="67"/>
      <c r="T139" s="11" t="str">
        <f>IF(OR(AND(ISBLANK(R139),$R$115="Yes"),AND(NOT(ISBLANK(R139)),$R$115&lt;&gt;"Yes")),"R","G")</f>
        <v>G</v>
      </c>
    </row>
    <row r="140" spans="2:20" x14ac:dyDescent="0.25">
      <c r="E140" s="54"/>
      <c r="F140" s="54"/>
      <c r="G140" s="54"/>
      <c r="H140" s="54"/>
      <c r="I140" s="54"/>
      <c r="J140" s="54"/>
      <c r="K140" s="54"/>
      <c r="L140" s="54"/>
      <c r="M140" s="54"/>
      <c r="N140" s="54"/>
      <c r="O140" s="54"/>
      <c r="P140" s="55"/>
    </row>
    <row r="141" spans="2:20" ht="27.75" customHeight="1" x14ac:dyDescent="0.25">
      <c r="B141" s="15" t="s">
        <v>615</v>
      </c>
      <c r="D141" s="184" t="s">
        <v>811</v>
      </c>
      <c r="E141" s="184"/>
      <c r="F141" s="184"/>
      <c r="G141" s="184"/>
      <c r="H141" s="184"/>
      <c r="I141" s="184"/>
      <c r="J141" s="184"/>
      <c r="K141" s="184"/>
      <c r="L141" s="184"/>
      <c r="M141" s="184"/>
      <c r="N141" s="184"/>
      <c r="O141" s="184"/>
      <c r="P141" s="45" t="s">
        <v>985</v>
      </c>
      <c r="R141" s="17"/>
      <c r="T141" s="11" t="str">
        <f>IF(OR(AND(ISBLANK(R141),$R$115="Yes"),AND(NOT(ISBLANK(R141)),$R$115&lt;&gt;"Yes")),"R","G")</f>
        <v>G</v>
      </c>
    </row>
    <row r="142" spans="2:20" x14ac:dyDescent="0.25">
      <c r="E142" s="54"/>
      <c r="F142" s="54"/>
      <c r="G142" s="54"/>
      <c r="H142" s="54"/>
      <c r="I142" s="54"/>
      <c r="J142" s="54"/>
      <c r="K142" s="54"/>
      <c r="L142" s="54"/>
      <c r="M142" s="54"/>
      <c r="N142" s="54"/>
      <c r="O142" s="54"/>
      <c r="P142" s="55"/>
    </row>
    <row r="143" spans="2:20" ht="32.25" customHeight="1" x14ac:dyDescent="0.25">
      <c r="B143" s="15" t="s">
        <v>616</v>
      </c>
      <c r="D143" s="184" t="s">
        <v>812</v>
      </c>
      <c r="E143" s="184"/>
      <c r="F143" s="184"/>
      <c r="G143" s="184"/>
      <c r="H143" s="184"/>
      <c r="I143" s="184"/>
      <c r="J143" s="184"/>
      <c r="K143" s="184"/>
      <c r="L143" s="184"/>
      <c r="M143" s="184"/>
      <c r="N143" s="184"/>
      <c r="O143" s="184"/>
      <c r="P143" s="45" t="s">
        <v>985</v>
      </c>
      <c r="R143" s="17"/>
      <c r="T143" s="11" t="str">
        <f>IF(OR(AND(ISBLANK(R143),$R$115="Yes"),AND(NOT(ISBLANK(R143)),$R$115&lt;&gt;"Yes")),"R","G")</f>
        <v>G</v>
      </c>
    </row>
    <row r="144" spans="2:20" x14ac:dyDescent="0.25">
      <c r="E144" s="54"/>
      <c r="F144" s="54"/>
      <c r="G144" s="54"/>
      <c r="H144" s="54"/>
      <c r="I144" s="54"/>
      <c r="J144" s="54"/>
      <c r="K144" s="54"/>
      <c r="L144" s="54"/>
      <c r="M144" s="54"/>
      <c r="N144" s="54"/>
      <c r="O144" s="54"/>
      <c r="P144" s="55"/>
    </row>
    <row r="145" spans="2:20" ht="15" customHeight="1" x14ac:dyDescent="0.25">
      <c r="B145" s="15" t="s">
        <v>617</v>
      </c>
      <c r="D145" s="184" t="s">
        <v>813</v>
      </c>
      <c r="E145" s="184"/>
      <c r="F145" s="184"/>
      <c r="G145" s="184"/>
      <c r="H145" s="184"/>
      <c r="I145" s="184"/>
      <c r="J145" s="184"/>
      <c r="K145" s="184"/>
      <c r="L145" s="184"/>
      <c r="M145" s="184"/>
      <c r="N145" s="184"/>
      <c r="O145" s="184"/>
      <c r="P145" s="55"/>
      <c r="R145" s="67"/>
      <c r="T145" s="11" t="str">
        <f>IF(OR(AND(ISBLANK(R145),Payment="Yes"),AND(NOT(ISBLANK(R145)),Payment&lt;&gt;"Yes")),"R","G")</f>
        <v>G</v>
      </c>
    </row>
    <row r="146" spans="2:20" x14ac:dyDescent="0.25">
      <c r="E146" s="54"/>
      <c r="F146" s="54"/>
      <c r="G146" s="54"/>
      <c r="H146" s="54"/>
      <c r="I146" s="54"/>
      <c r="J146" s="54"/>
      <c r="K146" s="54"/>
      <c r="L146" s="54"/>
      <c r="M146" s="54"/>
      <c r="N146" s="54"/>
      <c r="O146" s="54"/>
      <c r="P146" s="55"/>
    </row>
    <row r="147" spans="2:20" ht="28.5" customHeight="1" x14ac:dyDescent="0.25">
      <c r="B147" s="15" t="s">
        <v>618</v>
      </c>
      <c r="D147" s="184" t="s">
        <v>814</v>
      </c>
      <c r="E147" s="184"/>
      <c r="F147" s="184"/>
      <c r="G147" s="184"/>
      <c r="H147" s="184"/>
      <c r="I147" s="184"/>
      <c r="J147" s="184"/>
      <c r="K147" s="184"/>
      <c r="L147" s="184"/>
      <c r="M147" s="184"/>
      <c r="N147" s="184"/>
      <c r="O147" s="184"/>
      <c r="P147" s="55"/>
      <c r="R147" s="18"/>
      <c r="S147" s="52"/>
      <c r="T147" s="11" t="str">
        <f>IF(OR(AND(R145&lt;=0,OR(R147&lt;0%,R147&gt;100%,NOT(ISBLANK(R147)))),AND(R145&gt;0,OR(R147&lt;0%,R147&gt;100%,ISBLANK(R147)))),"R","G")</f>
        <v>G</v>
      </c>
    </row>
    <row r="148" spans="2:20" x14ac:dyDescent="0.25">
      <c r="E148" s="54"/>
      <c r="F148" s="54"/>
      <c r="G148" s="54"/>
      <c r="H148" s="54"/>
      <c r="I148" s="54"/>
      <c r="J148" s="54"/>
      <c r="K148" s="54"/>
      <c r="L148" s="54"/>
      <c r="M148" s="54"/>
      <c r="N148" s="54"/>
      <c r="O148" s="54"/>
      <c r="P148" s="55"/>
      <c r="R148" s="45"/>
    </row>
    <row r="149" spans="2:20" ht="31.5" customHeight="1" x14ac:dyDescent="0.25">
      <c r="B149" s="15" t="s">
        <v>619</v>
      </c>
      <c r="D149" s="184" t="s">
        <v>815</v>
      </c>
      <c r="E149" s="184"/>
      <c r="F149" s="184"/>
      <c r="G149" s="184"/>
      <c r="H149" s="184"/>
      <c r="I149" s="184"/>
      <c r="J149" s="184"/>
      <c r="K149" s="184"/>
      <c r="L149" s="184"/>
      <c r="M149" s="184"/>
      <c r="N149" s="184"/>
      <c r="O149" s="184"/>
      <c r="P149" s="55" t="s">
        <v>985</v>
      </c>
      <c r="R149" s="17"/>
      <c r="T149" s="11" t="str">
        <f>IF(OR(AND(ISBLANK(R149),$R$145&gt;0),AND(NOT(ISBLANK(R149)),$R$145&lt;=0)),"R","G")</f>
        <v>G</v>
      </c>
    </row>
    <row r="150" spans="2:20" x14ac:dyDescent="0.25">
      <c r="E150" s="54"/>
      <c r="F150" s="54"/>
      <c r="G150" s="54"/>
      <c r="H150" s="54"/>
      <c r="I150" s="54"/>
      <c r="J150" s="54"/>
      <c r="K150" s="54"/>
      <c r="L150" s="54"/>
      <c r="M150" s="54"/>
      <c r="N150" s="54"/>
      <c r="O150" s="54"/>
      <c r="P150" s="55"/>
    </row>
    <row r="151" spans="2:20" ht="15" customHeight="1" x14ac:dyDescent="0.25">
      <c r="B151" s="15" t="s">
        <v>620</v>
      </c>
      <c r="D151" s="184" t="s">
        <v>816</v>
      </c>
      <c r="E151" s="184"/>
      <c r="F151" s="184"/>
      <c r="G151" s="184"/>
      <c r="H151" s="184"/>
      <c r="I151" s="184"/>
      <c r="J151" s="184"/>
      <c r="K151" s="184"/>
      <c r="L151" s="184"/>
      <c r="M151" s="184"/>
      <c r="N151" s="184"/>
      <c r="O151" s="184"/>
      <c r="P151" s="55"/>
      <c r="R151" s="67"/>
      <c r="T151" s="11" t="str">
        <f>IF(OR(AND(ISBLANK(R151),R145&gt;0),AND(NOT(ISBLANK(R151)),R145&lt;=0)),"R","G")</f>
        <v>G</v>
      </c>
    </row>
    <row r="152" spans="2:20" x14ac:dyDescent="0.25">
      <c r="E152" s="54"/>
      <c r="F152" s="54"/>
      <c r="G152" s="54"/>
      <c r="H152" s="54"/>
      <c r="I152" s="54"/>
      <c r="J152" s="54"/>
      <c r="K152" s="54"/>
      <c r="L152" s="54"/>
      <c r="M152" s="54"/>
      <c r="N152" s="54"/>
      <c r="O152" s="54"/>
      <c r="P152" s="55"/>
    </row>
    <row r="153" spans="2:20" ht="15" customHeight="1" x14ac:dyDescent="0.25">
      <c r="B153" s="15" t="s">
        <v>621</v>
      </c>
      <c r="D153" s="184" t="s">
        <v>817</v>
      </c>
      <c r="E153" s="184"/>
      <c r="F153" s="184"/>
      <c r="G153" s="184"/>
      <c r="H153" s="184"/>
      <c r="I153" s="184"/>
      <c r="J153" s="184"/>
      <c r="K153" s="184"/>
      <c r="L153" s="184"/>
      <c r="M153" s="184"/>
      <c r="N153" s="184"/>
      <c r="O153" s="184"/>
      <c r="P153" s="55"/>
      <c r="R153" s="16"/>
      <c r="T153" s="11" t="str">
        <f>IF(OR(AND(ISBLANK(R153),$R$145&gt;0),AND(NOT(ISBLANK(R153)),$R$145&lt;=0)),"R","G")</f>
        <v>G</v>
      </c>
    </row>
    <row r="154" spans="2:20" x14ac:dyDescent="0.25">
      <c r="E154" s="54"/>
      <c r="F154" s="54"/>
      <c r="G154" s="54"/>
      <c r="H154" s="54"/>
      <c r="I154" s="54"/>
      <c r="J154" s="54"/>
      <c r="K154" s="54"/>
      <c r="L154" s="54"/>
      <c r="M154" s="54"/>
      <c r="N154" s="54"/>
      <c r="O154" s="54"/>
      <c r="P154" s="55"/>
    </row>
    <row r="155" spans="2:20" ht="15" customHeight="1" x14ac:dyDescent="0.25">
      <c r="B155" s="15" t="s">
        <v>622</v>
      </c>
      <c r="D155" s="184" t="s">
        <v>818</v>
      </c>
      <c r="E155" s="184"/>
      <c r="F155" s="184"/>
      <c r="G155" s="184"/>
      <c r="H155" s="184"/>
      <c r="I155" s="184"/>
      <c r="J155" s="184"/>
      <c r="K155" s="184"/>
      <c r="L155" s="184"/>
      <c r="M155" s="184"/>
      <c r="N155" s="184"/>
      <c r="O155" s="184"/>
      <c r="P155" s="55"/>
      <c r="R155" s="16"/>
      <c r="T155" s="11" t="str">
        <f>IF(OR(AND(ISBLANK(R155),$R$145&gt;0),AND(NOT(ISBLANK(R155)),$R$145&lt;=0)),"R","G")</f>
        <v>G</v>
      </c>
    </row>
    <row r="156" spans="2:20" x14ac:dyDescent="0.25">
      <c r="E156" s="54"/>
      <c r="F156" s="54"/>
      <c r="G156" s="54"/>
      <c r="H156" s="54"/>
      <c r="I156" s="54"/>
      <c r="J156" s="54"/>
      <c r="K156" s="54"/>
      <c r="L156" s="54"/>
      <c r="M156" s="54"/>
      <c r="N156" s="54"/>
      <c r="O156" s="54"/>
      <c r="P156" s="55"/>
      <c r="R156" s="45"/>
    </row>
    <row r="157" spans="2:20" ht="31.5" customHeight="1" x14ac:dyDescent="0.25">
      <c r="B157" s="15" t="s">
        <v>623</v>
      </c>
      <c r="D157" s="184" t="s">
        <v>819</v>
      </c>
      <c r="E157" s="184"/>
      <c r="F157" s="184"/>
      <c r="G157" s="184"/>
      <c r="H157" s="184"/>
      <c r="I157" s="184"/>
      <c r="J157" s="184"/>
      <c r="K157" s="184"/>
      <c r="L157" s="184"/>
      <c r="M157" s="184"/>
      <c r="N157" s="184"/>
      <c r="O157" s="184"/>
      <c r="P157" s="55" t="s">
        <v>985</v>
      </c>
      <c r="R157" s="17"/>
      <c r="T157" s="11" t="str">
        <f>IF(OR(AND(ISBLANK(R157),$R$153="Yes"),AND(NOT(ISBLANK(R157)),$R$153&lt;&gt;"Yes")),"R","G")</f>
        <v>G</v>
      </c>
    </row>
    <row r="158" spans="2:20" x14ac:dyDescent="0.25">
      <c r="E158" s="54"/>
      <c r="F158" s="54"/>
      <c r="G158" s="54"/>
      <c r="H158" s="54"/>
      <c r="I158" s="54"/>
      <c r="J158" s="54"/>
      <c r="K158" s="54"/>
      <c r="L158" s="54"/>
      <c r="M158" s="54"/>
      <c r="N158" s="54"/>
      <c r="O158" s="54"/>
      <c r="P158" s="55"/>
    </row>
    <row r="159" spans="2:20" x14ac:dyDescent="0.25">
      <c r="B159" s="15" t="s">
        <v>624</v>
      </c>
      <c r="D159" s="184" t="s">
        <v>1348</v>
      </c>
      <c r="E159" s="184"/>
      <c r="F159" s="184"/>
      <c r="G159" s="184"/>
      <c r="H159" s="184"/>
      <c r="I159" s="184"/>
      <c r="J159" s="184"/>
      <c r="K159" s="184"/>
      <c r="L159" s="184"/>
      <c r="M159" s="184"/>
      <c r="N159" s="184"/>
      <c r="O159" s="184"/>
      <c r="P159" s="55"/>
      <c r="R159" s="16"/>
      <c r="T159" s="11" t="str">
        <f>IF(OR(AND(ISBLANK(R159),Payment="Yes"),AND(NOT(ISBLANK(R159)),Payment&lt;&gt;"Yes")),"R","G")</f>
        <v>G</v>
      </c>
    </row>
    <row r="160" spans="2:20" x14ac:dyDescent="0.25">
      <c r="E160" s="54"/>
      <c r="F160" s="54"/>
      <c r="G160" s="54"/>
      <c r="H160" s="54"/>
      <c r="I160" s="54"/>
      <c r="J160" s="54"/>
      <c r="K160" s="54"/>
      <c r="L160" s="54"/>
      <c r="M160" s="54"/>
      <c r="N160" s="54"/>
      <c r="O160" s="54"/>
      <c r="P160" s="55"/>
    </row>
    <row r="161" spans="1:20" ht="29.25" customHeight="1" x14ac:dyDescent="0.25">
      <c r="B161" s="15" t="s">
        <v>625</v>
      </c>
      <c r="D161" s="184" t="s">
        <v>820</v>
      </c>
      <c r="E161" s="184"/>
      <c r="F161" s="184"/>
      <c r="G161" s="184"/>
      <c r="H161" s="184"/>
      <c r="I161" s="184"/>
      <c r="J161" s="184"/>
      <c r="K161" s="184"/>
      <c r="L161" s="184"/>
      <c r="M161" s="184"/>
      <c r="N161" s="184"/>
      <c r="O161" s="184"/>
      <c r="P161" s="55"/>
      <c r="R161" s="16"/>
      <c r="T161" s="11" t="str">
        <f>IF(OR(AND(ISBLANK(R161),$R$159="Yes"),AND(NOT(ISBLANK(R161)),$R$159&lt;&gt;"Yes")),"R","G")</f>
        <v>G</v>
      </c>
    </row>
    <row r="162" spans="1:20" x14ac:dyDescent="0.25">
      <c r="E162" s="54"/>
      <c r="F162" s="54"/>
      <c r="G162" s="54"/>
      <c r="H162" s="54"/>
      <c r="I162" s="54"/>
      <c r="J162" s="54"/>
      <c r="K162" s="54"/>
      <c r="L162" s="54"/>
      <c r="M162" s="54"/>
      <c r="N162" s="54"/>
      <c r="O162" s="54"/>
      <c r="P162" s="55"/>
    </row>
    <row r="163" spans="1:20" ht="15" customHeight="1" x14ac:dyDescent="0.25">
      <c r="B163" s="15" t="s">
        <v>626</v>
      </c>
      <c r="D163" s="184" t="s">
        <v>821</v>
      </c>
      <c r="E163" s="184"/>
      <c r="F163" s="184"/>
      <c r="G163" s="184"/>
      <c r="H163" s="184"/>
      <c r="I163" s="184"/>
      <c r="J163" s="184"/>
      <c r="K163" s="184"/>
      <c r="L163" s="184"/>
      <c r="M163" s="184"/>
      <c r="N163" s="184"/>
      <c r="O163" s="184"/>
      <c r="P163" s="55"/>
      <c r="R163" s="16"/>
      <c r="T163" s="11" t="str">
        <f>IF(OR(AND(ISBLANK(R163),Payment="Yes"),AND(NOT(ISBLANK(R163)),Payment&lt;&gt;"Yes")),"R","G")</f>
        <v>G</v>
      </c>
    </row>
    <row r="164" spans="1:20" x14ac:dyDescent="0.25">
      <c r="E164" s="54"/>
      <c r="F164" s="54"/>
      <c r="G164" s="54"/>
      <c r="H164" s="54"/>
      <c r="I164" s="54"/>
      <c r="J164" s="54"/>
      <c r="K164" s="54"/>
      <c r="L164" s="54"/>
      <c r="M164" s="54"/>
      <c r="N164" s="54"/>
      <c r="O164" s="54"/>
      <c r="P164" s="55"/>
      <c r="R164" s="45"/>
    </row>
    <row r="165" spans="1:20" ht="33" customHeight="1" x14ac:dyDescent="0.25">
      <c r="B165" s="15" t="s">
        <v>627</v>
      </c>
      <c r="D165" s="184" t="s">
        <v>1225</v>
      </c>
      <c r="E165" s="184"/>
      <c r="F165" s="184"/>
      <c r="G165" s="184"/>
      <c r="H165" s="184"/>
      <c r="I165" s="184"/>
      <c r="J165" s="184"/>
      <c r="K165" s="184"/>
      <c r="L165" s="184"/>
      <c r="M165" s="184"/>
      <c r="N165" s="184"/>
      <c r="O165" s="184"/>
      <c r="P165" s="55" t="s">
        <v>985</v>
      </c>
      <c r="R165" s="17"/>
      <c r="T165" s="11" t="str">
        <f>IF(OR(AND(ISBLANK(R165),$R$163="Yes"),AND(NOT(ISBLANK(R165)),$R$163&lt;&gt;"Yes")),"R","G")</f>
        <v>G</v>
      </c>
    </row>
    <row r="166" spans="1:20" x14ac:dyDescent="0.25">
      <c r="E166" s="54"/>
      <c r="F166" s="54"/>
      <c r="G166" s="54"/>
      <c r="H166" s="54"/>
      <c r="I166" s="54"/>
      <c r="J166" s="54"/>
      <c r="K166" s="54"/>
      <c r="L166" s="54"/>
      <c r="M166" s="54"/>
      <c r="N166" s="54"/>
      <c r="O166" s="54"/>
      <c r="P166" s="55"/>
    </row>
    <row r="167" spans="1:20" ht="31.5" customHeight="1" x14ac:dyDescent="0.25">
      <c r="B167" s="15" t="s">
        <v>628</v>
      </c>
      <c r="D167" s="184" t="s">
        <v>1226</v>
      </c>
      <c r="E167" s="184"/>
      <c r="F167" s="184"/>
      <c r="G167" s="184"/>
      <c r="H167" s="184"/>
      <c r="I167" s="184"/>
      <c r="J167" s="184"/>
      <c r="K167" s="184"/>
      <c r="L167" s="184"/>
      <c r="M167" s="184"/>
      <c r="N167" s="184"/>
      <c r="O167" s="184"/>
      <c r="P167" s="55"/>
      <c r="R167" s="67"/>
      <c r="T167" s="11" t="str">
        <f>IF(OR(AND(ISBLANK(R167),$R$163="Yes"),AND(NOT(ISBLANK(R167)),$R$163&lt;&gt;"Yes")),"R","G")</f>
        <v>G</v>
      </c>
    </row>
    <row r="168" spans="1:20" x14ac:dyDescent="0.25">
      <c r="E168" s="54"/>
      <c r="F168" s="54"/>
      <c r="G168" s="54"/>
      <c r="H168" s="54"/>
      <c r="I168" s="54"/>
      <c r="J168" s="54"/>
      <c r="K168" s="54"/>
      <c r="L168" s="54"/>
      <c r="M168" s="54"/>
      <c r="N168" s="54"/>
      <c r="O168" s="54"/>
      <c r="P168" s="55"/>
      <c r="R168" s="45"/>
    </row>
    <row r="169" spans="1:20" ht="29.25" customHeight="1" x14ac:dyDescent="0.25">
      <c r="B169" s="15" t="s">
        <v>629</v>
      </c>
      <c r="D169" s="184" t="s">
        <v>822</v>
      </c>
      <c r="E169" s="184"/>
      <c r="F169" s="184"/>
      <c r="G169" s="184"/>
      <c r="H169" s="184"/>
      <c r="I169" s="184"/>
      <c r="J169" s="184"/>
      <c r="K169" s="184"/>
      <c r="L169" s="184"/>
      <c r="M169" s="184"/>
      <c r="N169" s="184"/>
      <c r="O169" s="184"/>
      <c r="P169" s="55" t="s">
        <v>985</v>
      </c>
      <c r="R169" s="17"/>
      <c r="T169" s="11" t="str">
        <f>IF(OR(AND(T170="R",Payment="Yes"),AND(T170="R",Payment&lt;&gt;"Yes")),"R","G")</f>
        <v>G</v>
      </c>
    </row>
    <row r="170" spans="1:20" x14ac:dyDescent="0.25">
      <c r="B170" s="53" t="s">
        <v>1020</v>
      </c>
      <c r="C170" s="53"/>
      <c r="E170" s="44"/>
      <c r="F170" s="44"/>
      <c r="G170" s="44"/>
      <c r="H170" s="44"/>
      <c r="I170" s="44"/>
      <c r="J170" s="44"/>
      <c r="K170" s="44"/>
      <c r="L170" s="44"/>
      <c r="M170" s="185" t="s">
        <v>1032</v>
      </c>
      <c r="N170" s="185"/>
      <c r="O170" s="185"/>
      <c r="P170" s="185"/>
      <c r="Q170" s="52"/>
      <c r="R170" s="61"/>
      <c r="T170" s="11" t="str">
        <f>IF(Payment="Yes",IF(OR(AND(ISBLANK(R169),ISBLANK(R170)),AND(NOT(ISBLANK(R169)),R170="Not Applicable")),"R","G"),IF(Payment&lt;&gt;"Yes",IF(OR(AND(NOT(ISBLANK(R169)),NOT(ISBLANK(R170))),AND(ISBLANK(R169),R170="Not Applicable"),AND(NOT(ISBLANK(R169)),R170&lt;&gt;"Not Applicable")),"R","G")))</f>
        <v>G</v>
      </c>
    </row>
    <row r="171" spans="1:20" x14ac:dyDescent="0.25">
      <c r="B171" s="10"/>
      <c r="C171" s="10"/>
      <c r="D171" s="10"/>
      <c r="E171" s="10"/>
      <c r="F171" s="10"/>
      <c r="G171" s="10"/>
      <c r="H171" s="10"/>
      <c r="I171" s="10"/>
      <c r="J171" s="10"/>
      <c r="K171" s="10"/>
      <c r="L171" s="10"/>
      <c r="M171" s="10"/>
      <c r="N171" s="10"/>
      <c r="O171" s="10"/>
      <c r="P171" s="10"/>
      <c r="R171" s="10"/>
    </row>
    <row r="172" spans="1:20" ht="31.5" customHeight="1" x14ac:dyDescent="0.25">
      <c r="B172" s="15" t="s">
        <v>630</v>
      </c>
      <c r="D172" s="184" t="s">
        <v>823</v>
      </c>
      <c r="E172" s="184"/>
      <c r="F172" s="184"/>
      <c r="G172" s="184"/>
      <c r="H172" s="184"/>
      <c r="I172" s="184"/>
      <c r="J172" s="184"/>
      <c r="K172" s="184"/>
      <c r="L172" s="184"/>
      <c r="M172" s="184"/>
      <c r="N172" s="184"/>
      <c r="O172" s="184"/>
      <c r="P172" s="55" t="s">
        <v>985</v>
      </c>
      <c r="R172" s="17"/>
      <c r="T172" s="11" t="str">
        <f>IF(AND(T169="G",OR(ISBLANK(R169),R169=0),T170="G",ISBLANK(R170),ISBLANK(R172)),"G",
IF(AND(T169="G",T170="G",R170="Not Applicable"),"G",
IF(AND(T169="G",T170="G",NOT(ISBLANK(R172)),NOT(ISBLANK(R173))),"R",
IF(AND(T169="G",T170="G",ISBLANK(R172),ISBLANK(R173)),"R",
IF(AND(T169="G",T170="G",OR(NOT(ISBLANK(R169)),NOT(ISBLANK(R170)))),"G",
IF(AND(T169="R",T170="R",NOT(ISBLANK(R169)),NOT(ISBLANK(R170)),ISBLANK(R172),ISBLANK(R173)),"R",
"G"))))))</f>
        <v>G</v>
      </c>
    </row>
    <row r="173" spans="1:20" x14ac:dyDescent="0.25">
      <c r="B173" s="53" t="s">
        <v>1325</v>
      </c>
      <c r="C173" s="53"/>
      <c r="E173" s="44"/>
      <c r="F173" s="44"/>
      <c r="G173" s="44"/>
      <c r="H173" s="44"/>
      <c r="I173" s="44"/>
      <c r="J173" s="44"/>
      <c r="K173" s="44"/>
      <c r="L173" s="44"/>
      <c r="M173" s="185" t="s">
        <v>1032</v>
      </c>
      <c r="N173" s="185"/>
      <c r="O173" s="185"/>
      <c r="P173" s="185"/>
      <c r="Q173" s="52"/>
      <c r="R173" s="61"/>
      <c r="T173" s="11" t="str">
        <f>IF(R169=0,"G",
IF(AND(T169="R",T170="R",
       NOT(ISBLANK(R169)),
       NOT(ISBLANK(R170)),
       ISBLANK(R172),
       ISBLANK(R173)),"R",
IF(R170="Not Applicable","G",
IF(AND(T169="G",T170="G",
IF(Payment="Yes",
   OR(AND(ISBLANK(R172),ISBLANK(R173)),
      AND(NOT(ISBLANK(R172)),R173="Not Applicable")),
   OR(AND(NOT(ISBLANK(R172)),NOT(ISBLANK(R173))),
      AND(ISBLANK(R172),R173="Not Applicable"),
      AND(NOT(ISBLANK(R172)),R173&lt;&gt;"Not Applicable"))
)),"R",
"G"))))</f>
        <v>G</v>
      </c>
    </row>
    <row r="174" spans="1:20" x14ac:dyDescent="0.25">
      <c r="E174" s="54"/>
      <c r="F174" s="54"/>
      <c r="G174" s="54"/>
      <c r="H174" s="54"/>
      <c r="I174" s="54"/>
      <c r="J174" s="54"/>
      <c r="K174" s="54"/>
      <c r="L174" s="54"/>
      <c r="M174" s="54"/>
      <c r="N174" s="54"/>
      <c r="O174" s="54"/>
      <c r="P174" s="55"/>
    </row>
    <row r="175" spans="1:20" ht="46.5" customHeight="1" x14ac:dyDescent="0.25">
      <c r="B175" s="15" t="s">
        <v>631</v>
      </c>
      <c r="D175" s="184" t="s">
        <v>824</v>
      </c>
      <c r="E175" s="184"/>
      <c r="F175" s="184"/>
      <c r="G175" s="184"/>
      <c r="H175" s="184"/>
      <c r="I175" s="184"/>
      <c r="J175" s="184"/>
      <c r="K175" s="184"/>
      <c r="L175" s="184"/>
      <c r="M175" s="184"/>
      <c r="N175" s="184"/>
      <c r="O175" s="184"/>
      <c r="P175" s="55"/>
      <c r="R175" s="16"/>
      <c r="T175" s="11" t="str">
        <f>IF(OR(AND(ISBLANK(R175),Payment="Yes"),AND(NOT(ISBLANK(R175)),Payment&lt;&gt;"Yes")),"R","G")</f>
        <v>G</v>
      </c>
    </row>
    <row r="176" spans="1:20" x14ac:dyDescent="0.25">
      <c r="A176" s="54"/>
      <c r="B176" s="54"/>
      <c r="C176" s="54"/>
      <c r="D176" s="54"/>
      <c r="E176" s="54"/>
      <c r="F176" s="54"/>
      <c r="G176" s="54"/>
      <c r="H176" s="54"/>
      <c r="I176" s="54"/>
      <c r="J176" s="54"/>
      <c r="K176" s="54"/>
      <c r="L176" s="54"/>
      <c r="M176" s="54"/>
      <c r="N176" s="54"/>
      <c r="O176" s="54"/>
      <c r="P176" s="55"/>
    </row>
    <row r="177" spans="1:20" ht="44.25" customHeight="1" x14ac:dyDescent="0.25">
      <c r="B177" s="15" t="s">
        <v>632</v>
      </c>
      <c r="D177" s="184" t="s">
        <v>1227</v>
      </c>
      <c r="E177" s="184"/>
      <c r="F177" s="184"/>
      <c r="G177" s="184"/>
      <c r="H177" s="184"/>
      <c r="I177" s="184"/>
      <c r="J177" s="184"/>
      <c r="K177" s="184"/>
      <c r="L177" s="184"/>
      <c r="M177" s="184"/>
      <c r="N177" s="184"/>
      <c r="O177" s="184"/>
      <c r="P177" s="55"/>
      <c r="R177" s="16"/>
      <c r="T177" s="11" t="str">
        <f>IF(OR(AND(ISBLANK(R177),$R$175="Yes"),AND(NOT(ISBLANK(R177)),$R$175&lt;&gt;"Yes")),"R","G")</f>
        <v>G</v>
      </c>
    </row>
    <row r="178" spans="1:20" x14ac:dyDescent="0.25">
      <c r="B178" s="10"/>
      <c r="C178" s="10"/>
      <c r="D178" s="10"/>
      <c r="E178" s="10"/>
      <c r="F178" s="10"/>
      <c r="G178" s="10"/>
      <c r="H178" s="10"/>
      <c r="I178" s="10"/>
      <c r="J178" s="10"/>
      <c r="K178" s="10"/>
      <c r="L178" s="10"/>
      <c r="M178" s="10"/>
      <c r="N178" s="10"/>
      <c r="O178" s="10"/>
      <c r="P178" s="10"/>
      <c r="R178" s="10"/>
    </row>
    <row r="179" spans="1:20" ht="44.25" customHeight="1" x14ac:dyDescent="0.25">
      <c r="B179" s="15" t="s">
        <v>633</v>
      </c>
      <c r="D179" s="184" t="s">
        <v>1228</v>
      </c>
      <c r="E179" s="184"/>
      <c r="F179" s="184"/>
      <c r="G179" s="184"/>
      <c r="H179" s="184"/>
      <c r="I179" s="184"/>
      <c r="J179" s="184"/>
      <c r="K179" s="184"/>
      <c r="L179" s="184"/>
      <c r="M179" s="184"/>
      <c r="N179" s="184"/>
      <c r="O179" s="184"/>
      <c r="P179" s="55"/>
      <c r="R179" s="129"/>
      <c r="T179" s="11" t="str">
        <f>IF(OR(AND(ISBLANK(R179),$R$177="Yes"),AND(NOT(ISBLANK(R179)),$R$177&lt;&gt;"Yes")),"R","G")</f>
        <v>G</v>
      </c>
    </row>
    <row r="180" spans="1:20" x14ac:dyDescent="0.25">
      <c r="E180" s="54"/>
      <c r="F180" s="54"/>
      <c r="G180" s="54"/>
      <c r="H180" s="54"/>
      <c r="I180" s="54"/>
      <c r="J180" s="54"/>
      <c r="K180" s="54"/>
      <c r="L180" s="54"/>
      <c r="M180" s="54"/>
      <c r="N180" s="54"/>
      <c r="O180" s="54"/>
      <c r="P180" s="55"/>
    </row>
    <row r="181" spans="1:20" ht="15" customHeight="1" x14ac:dyDescent="0.25">
      <c r="B181" s="15" t="s">
        <v>634</v>
      </c>
      <c r="D181" s="184" t="s">
        <v>825</v>
      </c>
      <c r="E181" s="184"/>
      <c r="F181" s="184"/>
      <c r="G181" s="184"/>
      <c r="H181" s="184"/>
      <c r="I181" s="184"/>
      <c r="J181" s="184"/>
      <c r="K181" s="184"/>
      <c r="L181" s="184"/>
      <c r="M181" s="184"/>
      <c r="N181" s="184"/>
      <c r="O181" s="184"/>
      <c r="P181" s="55"/>
      <c r="R181" s="67"/>
      <c r="T181" s="11" t="str">
        <f>IF(OR(AND(ISBLANK(R181),Payment="Yes"),AND(NOT(ISBLANK(R181)),Payment&lt;&gt;"Yes")),"R","G")</f>
        <v>G</v>
      </c>
    </row>
    <row r="182" spans="1:20" x14ac:dyDescent="0.25">
      <c r="E182" s="54"/>
      <c r="F182" s="54"/>
      <c r="G182" s="54"/>
      <c r="H182" s="54"/>
      <c r="I182" s="54"/>
      <c r="J182" s="54"/>
      <c r="K182" s="54"/>
      <c r="L182" s="54"/>
      <c r="M182" s="54"/>
      <c r="N182" s="54"/>
      <c r="O182" s="54"/>
      <c r="P182" s="55"/>
    </row>
    <row r="183" spans="1:20" x14ac:dyDescent="0.25">
      <c r="B183" s="15" t="s">
        <v>635</v>
      </c>
      <c r="D183" s="184" t="s">
        <v>826</v>
      </c>
      <c r="E183" s="184"/>
      <c r="F183" s="184"/>
      <c r="G183" s="184"/>
      <c r="H183" s="184"/>
      <c r="I183" s="184"/>
      <c r="J183" s="184"/>
      <c r="K183" s="184"/>
      <c r="L183" s="184"/>
      <c r="M183" s="184"/>
      <c r="N183" s="184"/>
      <c r="O183" s="184"/>
      <c r="P183" s="55"/>
      <c r="R183" s="67"/>
      <c r="T183" s="11" t="str">
        <f>IF(OR(AND(ISBLANK(R183),Payment="Yes"),AND(NOT(ISBLANK(R183)),Payment&lt;&gt;"Yes")),"R","G")</f>
        <v>G</v>
      </c>
    </row>
    <row r="184" spans="1:20" x14ac:dyDescent="0.25">
      <c r="E184" s="54"/>
      <c r="F184" s="54"/>
      <c r="G184" s="54"/>
      <c r="H184" s="54"/>
      <c r="I184" s="54"/>
      <c r="J184" s="54"/>
      <c r="K184" s="54"/>
      <c r="L184" s="54"/>
      <c r="M184" s="54"/>
      <c r="N184" s="54"/>
      <c r="O184" s="54"/>
      <c r="P184" s="55"/>
      <c r="R184" s="45"/>
    </row>
    <row r="185" spans="1:20" x14ac:dyDescent="0.25">
      <c r="B185" s="15" t="s">
        <v>636</v>
      </c>
      <c r="D185" s="184" t="s">
        <v>827</v>
      </c>
      <c r="E185" s="184"/>
      <c r="F185" s="184"/>
      <c r="G185" s="184"/>
      <c r="H185" s="184"/>
      <c r="I185" s="184"/>
      <c r="J185" s="184"/>
      <c r="K185" s="184"/>
      <c r="L185" s="184"/>
      <c r="M185" s="184"/>
      <c r="N185" s="184"/>
      <c r="O185" s="184"/>
      <c r="P185" s="55" t="s">
        <v>985</v>
      </c>
      <c r="R185" s="17"/>
      <c r="T185" s="11" t="str">
        <f>IF(OR(AND(ISBLANK(R185),$R$183&gt;0),AND(NOT(ISBLANK(R185)),$R$183&lt;=0)),"R","G")</f>
        <v>G</v>
      </c>
    </row>
    <row r="186" spans="1:20" x14ac:dyDescent="0.25">
      <c r="E186" s="54"/>
      <c r="F186" s="54"/>
      <c r="G186" s="54"/>
      <c r="H186" s="54"/>
      <c r="I186" s="54"/>
      <c r="J186" s="54"/>
      <c r="K186" s="54"/>
      <c r="L186" s="54"/>
      <c r="M186" s="54"/>
      <c r="N186" s="54"/>
      <c r="O186" s="54"/>
      <c r="P186" s="55"/>
      <c r="R186" s="45"/>
    </row>
    <row r="187" spans="1:20" x14ac:dyDescent="0.25">
      <c r="B187" s="15" t="s">
        <v>637</v>
      </c>
      <c r="D187" s="184" t="s">
        <v>828</v>
      </c>
      <c r="E187" s="184"/>
      <c r="F187" s="184"/>
      <c r="G187" s="184"/>
      <c r="H187" s="184"/>
      <c r="I187" s="184"/>
      <c r="J187" s="184"/>
      <c r="K187" s="184"/>
      <c r="L187" s="184"/>
      <c r="M187" s="184"/>
      <c r="N187" s="184"/>
      <c r="O187" s="184"/>
      <c r="P187" s="55" t="s">
        <v>985</v>
      </c>
      <c r="R187" s="17"/>
      <c r="T187" s="11" t="str">
        <f>IF(OR(AND(ISBLANK(R187),$R$183&gt;0),AND(NOT(ISBLANK(R187)),$R$183&lt;=0)),"R","G")</f>
        <v>G</v>
      </c>
    </row>
    <row r="188" spans="1:20" x14ac:dyDescent="0.25">
      <c r="R188" s="45"/>
    </row>
    <row r="189" spans="1:20" ht="7.35" customHeight="1" x14ac:dyDescent="0.25">
      <c r="B189" s="71"/>
      <c r="C189" s="71"/>
      <c r="D189" s="15"/>
      <c r="E189" s="15"/>
      <c r="F189" s="15"/>
      <c r="G189" s="15"/>
      <c r="H189" s="15"/>
      <c r="I189" s="15"/>
      <c r="J189" s="15"/>
      <c r="K189" s="15"/>
      <c r="L189" s="15"/>
      <c r="M189" s="72"/>
      <c r="N189" s="72"/>
      <c r="O189" s="72"/>
      <c r="P189" s="72"/>
      <c r="Q189" s="73"/>
      <c r="R189" s="74"/>
    </row>
    <row r="190" spans="1:20" ht="7.15" customHeight="1" x14ac:dyDescent="0.25">
      <c r="A190" s="75"/>
      <c r="B190" s="76"/>
      <c r="C190" s="76"/>
      <c r="D190" s="77"/>
      <c r="E190" s="77"/>
      <c r="F190" s="77"/>
      <c r="G190" s="77"/>
      <c r="H190" s="77"/>
      <c r="I190" s="77"/>
      <c r="J190" s="77"/>
      <c r="K190" s="77"/>
      <c r="L190" s="77"/>
      <c r="M190" s="77"/>
      <c r="N190" s="77"/>
      <c r="O190" s="77"/>
      <c r="P190" s="77"/>
      <c r="Q190" s="75"/>
      <c r="R190" s="78"/>
      <c r="S190" s="75"/>
      <c r="T190" s="12"/>
    </row>
    <row r="191" spans="1:20" ht="7.35" customHeight="1" x14ac:dyDescent="0.25">
      <c r="B191" s="71"/>
      <c r="C191" s="71"/>
      <c r="D191" s="15"/>
      <c r="E191" s="15"/>
      <c r="F191" s="15"/>
      <c r="G191" s="15"/>
      <c r="H191" s="15"/>
      <c r="I191" s="15"/>
      <c r="J191" s="15"/>
      <c r="K191" s="15"/>
      <c r="L191" s="15"/>
      <c r="M191" s="15"/>
      <c r="N191" s="15"/>
      <c r="O191" s="15"/>
      <c r="P191" s="15"/>
      <c r="R191" s="74"/>
    </row>
    <row r="192" spans="1:20" ht="19.5" thickBot="1" x14ac:dyDescent="0.3">
      <c r="A192" s="37"/>
      <c r="B192" s="38" t="s">
        <v>137</v>
      </c>
      <c r="C192" s="38"/>
      <c r="D192" s="39" t="s">
        <v>1123</v>
      </c>
      <c r="E192" s="40"/>
      <c r="F192" s="40"/>
      <c r="G192" s="40"/>
      <c r="H192" s="40"/>
      <c r="I192" s="40"/>
      <c r="J192" s="40"/>
      <c r="K192" s="40"/>
      <c r="L192" s="40"/>
      <c r="M192" s="40"/>
      <c r="N192" s="40"/>
      <c r="O192" s="40"/>
      <c r="P192" s="41"/>
      <c r="Q192" s="37"/>
      <c r="R192" s="42"/>
      <c r="S192" s="37"/>
    </row>
    <row r="193" spans="2:20" x14ac:dyDescent="0.25"/>
    <row r="194" spans="2:20" x14ac:dyDescent="0.25">
      <c r="B194" s="15" t="s">
        <v>638</v>
      </c>
      <c r="D194" s="184" t="s">
        <v>829</v>
      </c>
      <c r="E194" s="184"/>
      <c r="F194" s="184"/>
      <c r="G194" s="184"/>
      <c r="H194" s="184"/>
      <c r="I194" s="184"/>
      <c r="J194" s="184"/>
      <c r="K194" s="184"/>
      <c r="L194" s="184"/>
      <c r="M194" s="184"/>
      <c r="N194" s="184"/>
      <c r="O194" s="184"/>
      <c r="P194" s="55" t="s">
        <v>985</v>
      </c>
      <c r="R194" s="17"/>
      <c r="T194" s="11" t="str">
        <f>IF(OR(AND(T195="R",Emoney="Yes"),AND(T195="R",Emoney&lt;&gt;"Yes")),"R","G")</f>
        <v>G</v>
      </c>
    </row>
    <row r="195" spans="2:20" ht="15" customHeight="1" x14ac:dyDescent="0.25">
      <c r="B195" s="57" t="s">
        <v>1023</v>
      </c>
      <c r="C195" s="57"/>
      <c r="E195" s="54"/>
      <c r="F195" s="54"/>
      <c r="G195" s="54"/>
      <c r="H195" s="54"/>
      <c r="I195" s="54"/>
      <c r="J195" s="54"/>
      <c r="K195" s="54"/>
      <c r="L195" s="54"/>
      <c r="M195" s="185" t="s">
        <v>1022</v>
      </c>
      <c r="N195" s="185"/>
      <c r="O195" s="185"/>
      <c r="P195" s="185"/>
      <c r="R195" s="61"/>
      <c r="T195" s="11" t="str">
        <f>IF(Emoney="Yes",IF(OR(AND(ISBLANK(R194),ISBLANK(R195)),AND(NOT(ISBLANK(R194)),R195="Not Available")),"R","G"),IF(Emoney&lt;&gt;"Yes",IF(OR(AND(NOT(ISBLANK(R194)),NOT(ISBLANK(R195))),AND(ISBLANK(R194),R195="Not Available"),AND(NOT(ISBLANK(R194)),R195&lt;&gt;"Not Available")),"R","G")))</f>
        <v>G</v>
      </c>
    </row>
    <row r="196" spans="2:20" x14ac:dyDescent="0.25">
      <c r="E196" s="54"/>
      <c r="F196" s="54"/>
      <c r="G196" s="54"/>
      <c r="H196" s="54"/>
      <c r="I196" s="54"/>
      <c r="J196" s="54"/>
      <c r="K196" s="54"/>
      <c r="L196" s="54"/>
      <c r="M196" s="54"/>
      <c r="N196" s="54"/>
      <c r="O196" s="54"/>
      <c r="P196" s="55"/>
      <c r="R196" s="45"/>
    </row>
    <row r="197" spans="2:20" x14ac:dyDescent="0.25">
      <c r="B197" s="15" t="s">
        <v>639</v>
      </c>
      <c r="D197" s="184" t="s">
        <v>830</v>
      </c>
      <c r="E197" s="184"/>
      <c r="F197" s="184"/>
      <c r="G197" s="184"/>
      <c r="H197" s="184"/>
      <c r="I197" s="184"/>
      <c r="J197" s="184"/>
      <c r="K197" s="184"/>
      <c r="L197" s="184"/>
      <c r="M197" s="184"/>
      <c r="N197" s="184"/>
      <c r="O197" s="184"/>
      <c r="P197" s="55" t="s">
        <v>985</v>
      </c>
      <c r="R197" s="17"/>
      <c r="T197" s="11" t="str">
        <f>IF(OR(AND(T198="R",$R$194&gt;0),AND(T198="R",$R$194&lt;=0)),"R","G")</f>
        <v>G</v>
      </c>
    </row>
    <row r="198" spans="2:20" ht="15" customHeight="1" x14ac:dyDescent="0.25">
      <c r="B198" s="57" t="s">
        <v>1024</v>
      </c>
      <c r="C198" s="57"/>
      <c r="E198" s="54"/>
      <c r="F198" s="54"/>
      <c r="G198" s="54"/>
      <c r="H198" s="54"/>
      <c r="I198" s="54"/>
      <c r="J198" s="54"/>
      <c r="K198" s="54"/>
      <c r="L198" s="54"/>
      <c r="M198" s="185" t="s">
        <v>1022</v>
      </c>
      <c r="N198" s="185"/>
      <c r="O198" s="185"/>
      <c r="P198" s="185"/>
      <c r="R198" s="61"/>
      <c r="T198" s="11" t="str">
        <f>IF($R$194&gt;0,IF(OR(AND(ISBLANK(R197),ISBLANK(R198)),AND(NOT(ISBLANK(R197)),R198="Not Available")),"R","G"),IF($R$194&lt;=0,IF(OR(AND(NOT(ISBLANK(R197)),NOT(ISBLANK(R198))),AND(ISBLANK(R197),R198="Not Available"),AND(NOT(ISBLANK(R197)),R198&lt;&gt;"Not Available")),"R","G")))</f>
        <v>G</v>
      </c>
    </row>
    <row r="199" spans="2:20" x14ac:dyDescent="0.25">
      <c r="B199" s="10"/>
      <c r="C199" s="10"/>
      <c r="D199" s="10"/>
      <c r="E199" s="10"/>
      <c r="F199" s="10"/>
      <c r="G199" s="10"/>
      <c r="H199" s="10"/>
      <c r="I199" s="10"/>
      <c r="J199" s="10"/>
      <c r="K199" s="10"/>
      <c r="L199" s="10"/>
      <c r="M199" s="10"/>
      <c r="N199" s="10"/>
      <c r="O199" s="10"/>
      <c r="P199" s="50"/>
      <c r="R199" s="45"/>
    </row>
    <row r="200" spans="2:20" x14ac:dyDescent="0.25">
      <c r="B200" s="15" t="s">
        <v>640</v>
      </c>
      <c r="D200" s="184" t="s">
        <v>831</v>
      </c>
      <c r="E200" s="184"/>
      <c r="F200" s="184"/>
      <c r="G200" s="184"/>
      <c r="H200" s="184"/>
      <c r="I200" s="184"/>
      <c r="J200" s="184"/>
      <c r="K200" s="184"/>
      <c r="L200" s="184"/>
      <c r="M200" s="184"/>
      <c r="N200" s="184"/>
      <c r="O200" s="184"/>
      <c r="P200" s="55" t="s">
        <v>985</v>
      </c>
      <c r="R200" s="17"/>
      <c r="T200" s="11" t="str">
        <f>IF(OR(AND(T201="R",$R$194&gt;0),AND(T201="R",$R$194&lt;=0)),"R","G")</f>
        <v>G</v>
      </c>
    </row>
    <row r="201" spans="2:20" ht="15" customHeight="1" x14ac:dyDescent="0.25">
      <c r="B201" s="57" t="s">
        <v>1215</v>
      </c>
      <c r="C201" s="57"/>
      <c r="E201" s="54"/>
      <c r="F201" s="54"/>
      <c r="G201" s="54"/>
      <c r="H201" s="54"/>
      <c r="I201" s="54"/>
      <c r="J201" s="54"/>
      <c r="K201" s="54"/>
      <c r="L201" s="54"/>
      <c r="M201" s="185" t="s">
        <v>1022</v>
      </c>
      <c r="N201" s="185"/>
      <c r="O201" s="185"/>
      <c r="P201" s="185"/>
      <c r="R201" s="61"/>
      <c r="T201" s="11" t="str">
        <f>IF($R$194&gt;0,IF(OR(AND(ISBLANK(R200),ISBLANK(R201)),AND(NOT(ISBLANK(R200)),R201="Not Available")),"R","G"),IF($R$194&lt;=0,IF(OR(AND(NOT(ISBLANK(R200)),NOT(ISBLANK(R201))),AND(ISBLANK(R200),R201="Not Available"),AND(NOT(ISBLANK(R200)),R201&lt;&gt;"Not Available")),"R","G")))</f>
        <v>G</v>
      </c>
    </row>
    <row r="202" spans="2:20" x14ac:dyDescent="0.25">
      <c r="E202" s="54"/>
      <c r="F202" s="54"/>
      <c r="G202" s="54"/>
      <c r="H202" s="54"/>
      <c r="I202" s="54"/>
      <c r="J202" s="54"/>
      <c r="K202" s="54"/>
      <c r="L202" s="54"/>
      <c r="M202" s="54"/>
      <c r="N202" s="54"/>
      <c r="O202" s="54"/>
      <c r="P202" s="55"/>
    </row>
    <row r="203" spans="2:20" ht="15" customHeight="1" x14ac:dyDescent="0.25">
      <c r="B203" s="15" t="s">
        <v>641</v>
      </c>
      <c r="D203" s="184" t="s">
        <v>832</v>
      </c>
      <c r="E203" s="184"/>
      <c r="F203" s="184"/>
      <c r="G203" s="184"/>
      <c r="H203" s="184"/>
      <c r="I203" s="184"/>
      <c r="J203" s="184"/>
      <c r="K203" s="184"/>
      <c r="L203" s="184"/>
      <c r="M203" s="184"/>
      <c r="N203" s="184"/>
      <c r="O203" s="184"/>
      <c r="P203" s="55"/>
      <c r="R203" s="16"/>
      <c r="T203" s="11" t="str">
        <f>IF(OR(AND(ISBLANK(R203),Emoney="Yes"),AND(NOT(ISBLANK(R203)),Emoney&lt;&gt;"Yes")),"R","G")</f>
        <v>G</v>
      </c>
    </row>
    <row r="204" spans="2:20" x14ac:dyDescent="0.25">
      <c r="E204" s="54"/>
      <c r="F204" s="54"/>
      <c r="G204" s="54"/>
      <c r="H204" s="54"/>
      <c r="I204" s="54"/>
      <c r="J204" s="54"/>
      <c r="K204" s="54"/>
      <c r="L204" s="54"/>
      <c r="M204" s="54"/>
      <c r="N204" s="54"/>
      <c r="O204" s="54"/>
      <c r="P204" s="55"/>
    </row>
    <row r="205" spans="2:20" ht="15" customHeight="1" x14ac:dyDescent="0.25">
      <c r="B205" s="15" t="s">
        <v>642</v>
      </c>
      <c r="D205" s="184" t="s">
        <v>833</v>
      </c>
      <c r="E205" s="184"/>
      <c r="F205" s="184"/>
      <c r="G205" s="184"/>
      <c r="H205" s="184"/>
      <c r="I205" s="184"/>
      <c r="J205" s="184"/>
      <c r="K205" s="184"/>
      <c r="L205" s="184"/>
      <c r="M205" s="184"/>
      <c r="N205" s="184"/>
      <c r="O205" s="184"/>
      <c r="P205" s="55"/>
      <c r="R205" s="16"/>
      <c r="T205" s="11" t="str">
        <f>IF(OR(AND(ISBLANK(R205),Emoney="Yes"),AND(NOT(ISBLANK(R205)),Emoney&lt;&gt;"Yes")),"R","G")</f>
        <v>G</v>
      </c>
    </row>
    <row r="206" spans="2:20" x14ac:dyDescent="0.25">
      <c r="E206" s="54"/>
      <c r="F206" s="54"/>
      <c r="G206" s="54"/>
      <c r="H206" s="54"/>
      <c r="I206" s="54"/>
      <c r="J206" s="54"/>
      <c r="K206" s="54"/>
      <c r="L206" s="54"/>
      <c r="M206" s="54"/>
      <c r="N206" s="54"/>
      <c r="O206" s="54"/>
      <c r="P206" s="55"/>
      <c r="R206" s="45"/>
    </row>
    <row r="207" spans="2:20" x14ac:dyDescent="0.25">
      <c r="B207" s="15" t="s">
        <v>643</v>
      </c>
      <c r="D207" s="184" t="s">
        <v>1229</v>
      </c>
      <c r="E207" s="184"/>
      <c r="F207" s="184"/>
      <c r="G207" s="184"/>
      <c r="H207" s="184"/>
      <c r="I207" s="184"/>
      <c r="J207" s="184"/>
      <c r="K207" s="184"/>
      <c r="L207" s="184"/>
      <c r="M207" s="184"/>
      <c r="N207" s="184"/>
      <c r="O207" s="184"/>
      <c r="P207" s="55" t="s">
        <v>985</v>
      </c>
      <c r="R207" s="17"/>
      <c r="T207" s="11" t="str">
        <f>IF(OR(AND(T208="R",$R$205="Yes"),AND(T208="R",$R$205&lt;&gt;"Yes")),"R","G")</f>
        <v>G</v>
      </c>
    </row>
    <row r="208" spans="2:20" ht="15" customHeight="1" x14ac:dyDescent="0.25">
      <c r="B208" s="57" t="s">
        <v>1025</v>
      </c>
      <c r="C208" s="57"/>
      <c r="E208" s="54"/>
      <c r="F208" s="54"/>
      <c r="G208" s="54"/>
      <c r="H208" s="54"/>
      <c r="I208" s="54"/>
      <c r="J208" s="54"/>
      <c r="K208" s="54"/>
      <c r="L208" s="54"/>
      <c r="M208" s="185" t="s">
        <v>1022</v>
      </c>
      <c r="N208" s="185"/>
      <c r="O208" s="185"/>
      <c r="P208" s="185"/>
      <c r="R208" s="61"/>
      <c r="T208" s="11" t="str">
        <f>IF($R$205="Yes",IF(OR(AND(ISBLANK(R207),ISBLANK(R208)),AND(NOT(ISBLANK(R207)),R208="Not Available")),"R","G"),IF($R$205&lt;&gt;"Yes",IF(OR(AND(NOT(ISBLANK(R207)),NOT(ISBLANK(R208))),AND(ISBLANK(R207),R208="Not Available"),AND(NOT(ISBLANK(R207)),R208&lt;&gt;"Not Available")),"R","G")))</f>
        <v>G</v>
      </c>
    </row>
    <row r="209" spans="2:20" x14ac:dyDescent="0.25">
      <c r="E209" s="54"/>
      <c r="F209" s="54"/>
      <c r="G209" s="54"/>
      <c r="H209" s="54"/>
      <c r="I209" s="54"/>
      <c r="J209" s="54"/>
      <c r="K209" s="54"/>
      <c r="L209" s="54"/>
      <c r="M209" s="54"/>
      <c r="N209" s="54"/>
      <c r="O209" s="54"/>
      <c r="P209" s="55"/>
    </row>
    <row r="210" spans="2:20" ht="15" customHeight="1" x14ac:dyDescent="0.25">
      <c r="B210" s="15" t="s">
        <v>644</v>
      </c>
      <c r="D210" s="184" t="s">
        <v>834</v>
      </c>
      <c r="E210" s="184"/>
      <c r="F210" s="184"/>
      <c r="G210" s="184"/>
      <c r="H210" s="184"/>
      <c r="I210" s="184"/>
      <c r="J210" s="184"/>
      <c r="K210" s="184"/>
      <c r="L210" s="184"/>
      <c r="M210" s="184"/>
      <c r="N210" s="184"/>
      <c r="O210" s="184"/>
      <c r="P210" s="55"/>
      <c r="R210" s="16"/>
      <c r="T210" s="11" t="str">
        <f>IF(OR(AND(ISBLANK(R210),Emoney="Yes"),AND(NOT(ISBLANK(R210)),Emoney&lt;&gt;"Yes")),"R","G")</f>
        <v>G</v>
      </c>
    </row>
    <row r="211" spans="2:20" x14ac:dyDescent="0.25">
      <c r="E211" s="54"/>
      <c r="F211" s="54"/>
      <c r="G211" s="54"/>
      <c r="H211" s="54"/>
      <c r="I211" s="54"/>
      <c r="J211" s="54"/>
      <c r="K211" s="54"/>
      <c r="L211" s="54"/>
      <c r="M211" s="54"/>
      <c r="N211" s="54"/>
      <c r="O211" s="54"/>
      <c r="P211" s="55"/>
    </row>
    <row r="212" spans="2:20" ht="28.5" customHeight="1" x14ac:dyDescent="0.25">
      <c r="B212" s="15" t="s">
        <v>645</v>
      </c>
      <c r="D212" s="184" t="s">
        <v>835</v>
      </c>
      <c r="E212" s="184"/>
      <c r="F212" s="184"/>
      <c r="G212" s="184"/>
      <c r="H212" s="184"/>
      <c r="I212" s="184"/>
      <c r="J212" s="184"/>
      <c r="K212" s="184"/>
      <c r="L212" s="184"/>
      <c r="M212" s="184"/>
      <c r="N212" s="184"/>
      <c r="O212" s="184"/>
      <c r="P212" s="55"/>
      <c r="R212" s="16"/>
      <c r="T212" s="11" t="str">
        <f>IF(OR(AND(ISBLANK(R212),$R$210="Yes"),AND(NOT(ISBLANK(R212)),$R$210&lt;&gt;"Yes")),"R","G")</f>
        <v>G</v>
      </c>
    </row>
    <row r="213" spans="2:20" x14ac:dyDescent="0.25">
      <c r="E213" s="54"/>
      <c r="F213" s="54"/>
      <c r="G213" s="54"/>
      <c r="H213" s="54"/>
      <c r="I213" s="54"/>
      <c r="J213" s="54"/>
      <c r="K213" s="54"/>
      <c r="L213" s="54"/>
      <c r="M213" s="54"/>
      <c r="N213" s="54"/>
      <c r="O213" s="54"/>
      <c r="P213" s="55"/>
    </row>
    <row r="214" spans="2:20" ht="15" customHeight="1" x14ac:dyDescent="0.25">
      <c r="B214" s="15" t="s">
        <v>646</v>
      </c>
      <c r="D214" s="184" t="s">
        <v>836</v>
      </c>
      <c r="E214" s="184"/>
      <c r="F214" s="184"/>
      <c r="G214" s="184"/>
      <c r="H214" s="184"/>
      <c r="I214" s="184"/>
      <c r="J214" s="184"/>
      <c r="K214" s="184"/>
      <c r="L214" s="184"/>
      <c r="M214" s="184"/>
      <c r="N214" s="184"/>
      <c r="O214" s="184"/>
      <c r="P214" s="55"/>
      <c r="R214" s="16"/>
      <c r="T214" s="11" t="str">
        <f>IF(OR(AND(ISBLANK(R214),$R$210="Yes"),AND(NOT(ISBLANK(R214)),$R$210&lt;&gt;"Yes")),"R","G")</f>
        <v>G</v>
      </c>
    </row>
    <row r="215" spans="2:20" x14ac:dyDescent="0.25">
      <c r="E215" s="54"/>
      <c r="F215" s="54"/>
      <c r="G215" s="54"/>
      <c r="H215" s="54"/>
      <c r="I215" s="54"/>
      <c r="J215" s="54"/>
      <c r="K215" s="54"/>
      <c r="L215" s="54"/>
      <c r="M215" s="54"/>
      <c r="N215" s="54"/>
      <c r="O215" s="54"/>
      <c r="P215" s="55"/>
      <c r="R215" s="45"/>
    </row>
    <row r="216" spans="2:20" ht="29.25" customHeight="1" x14ac:dyDescent="0.25">
      <c r="B216" s="15" t="s">
        <v>647</v>
      </c>
      <c r="D216" s="184" t="s">
        <v>837</v>
      </c>
      <c r="E216" s="184"/>
      <c r="F216" s="184"/>
      <c r="G216" s="184"/>
      <c r="H216" s="184"/>
      <c r="I216" s="184"/>
      <c r="J216" s="184"/>
      <c r="K216" s="184"/>
      <c r="L216" s="184"/>
      <c r="M216" s="184"/>
      <c r="N216" s="184"/>
      <c r="O216" s="184"/>
      <c r="P216" s="55" t="s">
        <v>985</v>
      </c>
      <c r="R216" s="17"/>
      <c r="T216" s="11" t="str">
        <f>IF(OR(AND(T217="R",$R$210="Yes"),AND(T217="R",$R$210&lt;&gt;"Yes")),"R","G")</f>
        <v>G</v>
      </c>
    </row>
    <row r="217" spans="2:20" x14ac:dyDescent="0.25">
      <c r="B217" s="57" t="s">
        <v>1026</v>
      </c>
      <c r="C217" s="57"/>
      <c r="E217" s="54"/>
      <c r="F217" s="54"/>
      <c r="G217" s="54"/>
      <c r="H217" s="54"/>
      <c r="I217" s="54"/>
      <c r="J217" s="54"/>
      <c r="K217" s="54"/>
      <c r="L217" s="54"/>
      <c r="M217" s="185" t="s">
        <v>1022</v>
      </c>
      <c r="N217" s="185"/>
      <c r="O217" s="185"/>
      <c r="P217" s="185"/>
      <c r="R217" s="61"/>
      <c r="T217" s="11" t="str">
        <f>IF($R$210="Yes",IF(OR(AND(ISBLANK(R216),ISBLANK(R217)),AND(NOT(ISBLANK(R216)),R217="Not Available")),"R","G"),IF($R$210&lt;&gt;"Yes",IF(OR(AND(NOT(ISBLANK(R216)),NOT(ISBLANK(R217))),AND(ISBLANK(R216),R217="Not Available"),AND(NOT(ISBLANK(R216)),R217&lt;&gt;"Not Available")),"R","G")))</f>
        <v>G</v>
      </c>
    </row>
    <row r="218" spans="2:20" x14ac:dyDescent="0.25">
      <c r="B218" s="10"/>
      <c r="C218" s="10"/>
      <c r="D218" s="10"/>
      <c r="E218" s="10"/>
      <c r="F218" s="10"/>
      <c r="G218" s="10"/>
      <c r="H218" s="10"/>
      <c r="I218" s="10"/>
      <c r="J218" s="10"/>
      <c r="K218" s="10"/>
      <c r="L218" s="10"/>
      <c r="M218" s="10"/>
      <c r="N218" s="10"/>
      <c r="O218" s="10"/>
      <c r="P218" s="10"/>
      <c r="R218" s="10"/>
    </row>
    <row r="219" spans="2:20" ht="43.5" customHeight="1" x14ac:dyDescent="0.25">
      <c r="B219" s="15" t="s">
        <v>648</v>
      </c>
      <c r="D219" s="184" t="s">
        <v>838</v>
      </c>
      <c r="E219" s="184"/>
      <c r="F219" s="184"/>
      <c r="G219" s="184"/>
      <c r="H219" s="184"/>
      <c r="I219" s="184"/>
      <c r="J219" s="184"/>
      <c r="K219" s="184"/>
      <c r="L219" s="184"/>
      <c r="M219" s="184"/>
      <c r="N219" s="184"/>
      <c r="O219" s="184"/>
      <c r="P219" s="55" t="s">
        <v>985</v>
      </c>
      <c r="R219" s="17"/>
      <c r="T219" s="11" t="str">
        <f>IF(OR(AND(T220="R",Emoney="Yes"),AND(T220="R",Emoney&lt;&gt;"Yes")),"R","G")</f>
        <v>G</v>
      </c>
    </row>
    <row r="220" spans="2:20" ht="15" customHeight="1" x14ac:dyDescent="0.25">
      <c r="B220" s="57" t="s">
        <v>1073</v>
      </c>
      <c r="C220" s="57"/>
      <c r="E220" s="54"/>
      <c r="F220" s="54"/>
      <c r="G220" s="54"/>
      <c r="H220" s="54"/>
      <c r="I220" s="54"/>
      <c r="J220" s="54"/>
      <c r="K220" s="54"/>
      <c r="L220" s="54"/>
      <c r="M220" s="185" t="s">
        <v>1022</v>
      </c>
      <c r="N220" s="185"/>
      <c r="O220" s="185"/>
      <c r="P220" s="185"/>
      <c r="R220" s="61"/>
      <c r="T220" s="11" t="str">
        <f>IF(Emoney="Yes",IF(OR(AND(ISBLANK(R219),ISBLANK(R220)),AND(NOT(ISBLANK(R219)),R220="Not Available")),"R","G"),IF(Emoney&lt;&gt;"Yes",IF(OR(AND(NOT(ISBLANK(R219)),NOT(ISBLANK(R220))),AND(ISBLANK(R219),R220="Not Available"),AND(NOT(ISBLANK(R219)),R220&lt;&gt;"Not Available")),"R","G")))</f>
        <v>G</v>
      </c>
    </row>
    <row r="221" spans="2:20" x14ac:dyDescent="0.25">
      <c r="B221" s="10"/>
      <c r="C221" s="10"/>
      <c r="D221" s="10"/>
      <c r="E221" s="10"/>
      <c r="F221" s="10"/>
      <c r="G221" s="10"/>
      <c r="H221" s="10"/>
      <c r="I221" s="10"/>
      <c r="J221" s="10"/>
      <c r="K221" s="10"/>
      <c r="L221" s="10"/>
      <c r="M221" s="10"/>
      <c r="N221" s="10"/>
      <c r="O221" s="10"/>
      <c r="P221" s="10"/>
      <c r="R221" s="10"/>
    </row>
    <row r="222" spans="2:20" ht="38.25" customHeight="1" x14ac:dyDescent="0.25">
      <c r="B222" s="15" t="s">
        <v>649</v>
      </c>
      <c r="D222" s="184" t="s">
        <v>839</v>
      </c>
      <c r="E222" s="184"/>
      <c r="F222" s="184"/>
      <c r="G222" s="184"/>
      <c r="H222" s="184"/>
      <c r="I222" s="184"/>
      <c r="J222" s="184"/>
      <c r="K222" s="184"/>
      <c r="L222" s="184"/>
      <c r="M222" s="184"/>
      <c r="N222" s="184"/>
      <c r="O222" s="184"/>
      <c r="P222" s="55" t="s">
        <v>985</v>
      </c>
      <c r="R222" s="17"/>
      <c r="T222" s="11" t="str">
        <f>IF(OR(AND(T223="R",Emoney="Yes"),AND(T223="R",Emoney&lt;&gt;"Yes")),"R","G")</f>
        <v>G</v>
      </c>
    </row>
    <row r="223" spans="2:20" ht="15" customHeight="1" x14ac:dyDescent="0.25">
      <c r="B223" s="57" t="s">
        <v>1145</v>
      </c>
      <c r="C223" s="57"/>
      <c r="E223" s="54"/>
      <c r="F223" s="54"/>
      <c r="G223" s="54"/>
      <c r="H223" s="54"/>
      <c r="I223" s="54"/>
      <c r="J223" s="54"/>
      <c r="K223" s="54"/>
      <c r="L223" s="54"/>
      <c r="M223" s="185" t="s">
        <v>1022</v>
      </c>
      <c r="N223" s="185"/>
      <c r="O223" s="185"/>
      <c r="P223" s="185"/>
      <c r="R223" s="61"/>
      <c r="T223" s="11" t="str">
        <f>IF(Emoney="Yes",IF(OR(AND(ISBLANK(R222),ISBLANK(R223)),AND(NOT(ISBLANK(R222)),R223="Not Available")),"R","G"),IF(Emoney&lt;&gt;"Yes",IF(OR(AND(NOT(ISBLANK(R222)),NOT(ISBLANK(R223))),AND(ISBLANK(R222),R223="Not Available"),AND(NOT(ISBLANK(R222)),R223&lt;&gt;"Not Available")),"R","G")))</f>
        <v>G</v>
      </c>
    </row>
    <row r="224" spans="2:20" x14ac:dyDescent="0.25">
      <c r="B224" s="10"/>
      <c r="C224" s="10"/>
      <c r="D224" s="10"/>
      <c r="E224" s="10"/>
      <c r="F224" s="10"/>
      <c r="G224" s="10"/>
      <c r="H224" s="10"/>
      <c r="I224" s="10"/>
      <c r="J224" s="10"/>
      <c r="K224" s="10"/>
      <c r="L224" s="10"/>
      <c r="M224" s="10"/>
      <c r="N224" s="10"/>
      <c r="O224" s="10"/>
      <c r="P224" s="10"/>
      <c r="R224" s="10"/>
    </row>
    <row r="225" spans="1:20" ht="7.35" customHeight="1" x14ac:dyDescent="0.25">
      <c r="B225" s="71"/>
      <c r="C225" s="71"/>
      <c r="D225" s="15"/>
      <c r="E225" s="15"/>
      <c r="F225" s="15"/>
      <c r="G225" s="15"/>
      <c r="H225" s="15"/>
      <c r="I225" s="15"/>
      <c r="J225" s="15"/>
      <c r="K225" s="15"/>
      <c r="L225" s="15"/>
      <c r="M225" s="72"/>
      <c r="N225" s="72"/>
      <c r="O225" s="72"/>
      <c r="P225" s="72"/>
      <c r="Q225" s="73"/>
      <c r="R225" s="74"/>
    </row>
    <row r="226" spans="1:20" ht="7.15" customHeight="1" x14ac:dyDescent="0.25">
      <c r="A226" s="75"/>
      <c r="B226" s="76"/>
      <c r="C226" s="76"/>
      <c r="D226" s="77"/>
      <c r="E226" s="77"/>
      <c r="F226" s="77"/>
      <c r="G226" s="77"/>
      <c r="H226" s="77"/>
      <c r="I226" s="77"/>
      <c r="J226" s="77"/>
      <c r="K226" s="77"/>
      <c r="L226" s="77"/>
      <c r="M226" s="77"/>
      <c r="N226" s="77"/>
      <c r="O226" s="77"/>
      <c r="P226" s="77"/>
      <c r="Q226" s="75"/>
      <c r="R226" s="78"/>
      <c r="S226" s="75"/>
      <c r="T226" s="12"/>
    </row>
    <row r="227" spans="1:20" ht="7.35" customHeight="1" x14ac:dyDescent="0.25">
      <c r="B227" s="71"/>
      <c r="C227" s="71"/>
      <c r="D227" s="15"/>
      <c r="E227" s="15"/>
      <c r="F227" s="15"/>
      <c r="G227" s="15"/>
      <c r="H227" s="15"/>
      <c r="I227" s="15"/>
      <c r="J227" s="15"/>
      <c r="K227" s="15"/>
      <c r="L227" s="15"/>
      <c r="M227" s="15"/>
      <c r="N227" s="15"/>
      <c r="O227" s="15"/>
      <c r="P227" s="15"/>
      <c r="R227" s="74"/>
    </row>
    <row r="228" spans="1:20" ht="19.5" thickBot="1" x14ac:dyDescent="0.3">
      <c r="A228" s="37"/>
      <c r="B228" s="38" t="s">
        <v>153</v>
      </c>
      <c r="C228" s="38"/>
      <c r="D228" s="39" t="s">
        <v>1124</v>
      </c>
      <c r="E228" s="40"/>
      <c r="F228" s="40"/>
      <c r="G228" s="40"/>
      <c r="H228" s="40"/>
      <c r="I228" s="40"/>
      <c r="J228" s="40"/>
      <c r="K228" s="40"/>
      <c r="L228" s="40"/>
      <c r="M228" s="40"/>
      <c r="N228" s="40"/>
      <c r="O228" s="40"/>
      <c r="P228" s="41"/>
      <c r="Q228" s="37"/>
      <c r="R228" s="42"/>
      <c r="S228" s="37"/>
    </row>
    <row r="229" spans="1:20" x14ac:dyDescent="0.25"/>
    <row r="230" spans="1:20" ht="29.25" customHeight="1" x14ac:dyDescent="0.25">
      <c r="B230" s="15" t="s">
        <v>650</v>
      </c>
      <c r="D230" s="184" t="s">
        <v>840</v>
      </c>
      <c r="E230" s="184"/>
      <c r="F230" s="184"/>
      <c r="G230" s="184"/>
      <c r="H230" s="184"/>
      <c r="I230" s="184"/>
      <c r="J230" s="184"/>
      <c r="K230" s="184"/>
      <c r="L230" s="184"/>
      <c r="M230" s="184"/>
      <c r="N230" s="184"/>
      <c r="O230" s="184"/>
      <c r="P230" s="55"/>
      <c r="R230" s="16"/>
      <c r="T230" s="11" t="str">
        <f>IF(OR(AND(ISBLANK(R230),Guarantees="Yes"),AND(NOT(ISBLANK(R230)),Guarantees&lt;&gt;"Yes")),"R","G")</f>
        <v>G</v>
      </c>
    </row>
    <row r="231" spans="1:20" x14ac:dyDescent="0.25">
      <c r="B231" s="10"/>
      <c r="C231" s="10"/>
      <c r="D231" s="10"/>
      <c r="E231" s="10"/>
      <c r="F231" s="10"/>
      <c r="G231" s="10"/>
      <c r="H231" s="10"/>
      <c r="I231" s="10"/>
      <c r="J231" s="10"/>
      <c r="K231" s="10"/>
      <c r="L231" s="10"/>
      <c r="M231" s="10"/>
      <c r="N231" s="10"/>
      <c r="O231" s="10"/>
      <c r="P231" s="10"/>
      <c r="R231" s="10"/>
    </row>
    <row r="232" spans="1:20" x14ac:dyDescent="0.25">
      <c r="B232" s="15" t="s">
        <v>651</v>
      </c>
      <c r="D232" s="184" t="s">
        <v>841</v>
      </c>
      <c r="E232" s="184"/>
      <c r="F232" s="184"/>
      <c r="G232" s="184"/>
      <c r="H232" s="184"/>
      <c r="I232" s="184"/>
      <c r="J232" s="184"/>
      <c r="K232" s="184"/>
      <c r="L232" s="184"/>
      <c r="M232" s="184"/>
      <c r="N232" s="184"/>
      <c r="O232" s="184"/>
      <c r="P232" s="55" t="s">
        <v>985</v>
      </c>
      <c r="R232" s="17"/>
      <c r="T232" s="11" t="str">
        <f>IF(OR(AND(ISBLANK(R232),$R$230="Yes"),AND(NOT(ISBLANK(R232)),$R$230&lt;&gt;"Yes")),"R","G")</f>
        <v>G</v>
      </c>
    </row>
    <row r="233" spans="1:20" x14ac:dyDescent="0.25">
      <c r="B233" s="10"/>
      <c r="C233" s="10"/>
      <c r="D233" s="10"/>
      <c r="E233" s="10"/>
      <c r="F233" s="10"/>
      <c r="G233" s="10"/>
      <c r="H233" s="10"/>
      <c r="I233" s="10"/>
      <c r="J233" s="10"/>
      <c r="K233" s="10"/>
      <c r="L233" s="10"/>
      <c r="M233" s="10"/>
      <c r="N233" s="10"/>
      <c r="O233" s="10"/>
      <c r="P233" s="10"/>
      <c r="R233" s="10"/>
    </row>
    <row r="234" spans="1:20" ht="7.35" customHeight="1" x14ac:dyDescent="0.25">
      <c r="B234" s="71"/>
      <c r="C234" s="71"/>
      <c r="D234" s="15"/>
      <c r="E234" s="15"/>
      <c r="F234" s="15"/>
      <c r="G234" s="15"/>
      <c r="H234" s="15"/>
      <c r="I234" s="15"/>
      <c r="J234" s="15"/>
      <c r="K234" s="15"/>
      <c r="L234" s="15"/>
      <c r="M234" s="72"/>
      <c r="N234" s="72"/>
      <c r="O234" s="72"/>
      <c r="P234" s="72"/>
      <c r="Q234" s="73"/>
      <c r="R234" s="74"/>
    </row>
    <row r="235" spans="1:20" ht="7.15" customHeight="1" x14ac:dyDescent="0.25">
      <c r="A235" s="75"/>
      <c r="B235" s="76"/>
      <c r="C235" s="76"/>
      <c r="D235" s="77"/>
      <c r="E235" s="77"/>
      <c r="F235" s="77"/>
      <c r="G235" s="77"/>
      <c r="H235" s="77"/>
      <c r="I235" s="77"/>
      <c r="J235" s="77"/>
      <c r="K235" s="77"/>
      <c r="L235" s="77"/>
      <c r="M235" s="77"/>
      <c r="N235" s="77"/>
      <c r="O235" s="77"/>
      <c r="P235" s="77"/>
      <c r="Q235" s="75"/>
      <c r="R235" s="78"/>
      <c r="S235" s="75"/>
      <c r="T235" s="12"/>
    </row>
    <row r="236" spans="1:20" ht="7.35" customHeight="1" x14ac:dyDescent="0.25">
      <c r="B236" s="71"/>
      <c r="C236" s="71"/>
      <c r="D236" s="15"/>
      <c r="E236" s="15"/>
      <c r="F236" s="15"/>
      <c r="G236" s="15"/>
      <c r="H236" s="15"/>
      <c r="I236" s="15"/>
      <c r="J236" s="15"/>
      <c r="K236" s="15"/>
      <c r="L236" s="15"/>
      <c r="M236" s="15"/>
      <c r="N236" s="15"/>
      <c r="O236" s="15"/>
      <c r="P236" s="15"/>
      <c r="R236" s="74"/>
    </row>
    <row r="237" spans="1:20" ht="19.5" thickBot="1" x14ac:dyDescent="0.3">
      <c r="A237" s="37"/>
      <c r="B237" s="38" t="s">
        <v>184</v>
      </c>
      <c r="C237" s="38"/>
      <c r="D237" s="39" t="s">
        <v>1125</v>
      </c>
      <c r="E237" s="40"/>
      <c r="F237" s="40"/>
      <c r="G237" s="40"/>
      <c r="H237" s="40"/>
      <c r="I237" s="40"/>
      <c r="J237" s="40"/>
      <c r="K237" s="40"/>
      <c r="L237" s="40"/>
      <c r="M237" s="40"/>
      <c r="N237" s="40"/>
      <c r="O237" s="40"/>
      <c r="P237" s="41"/>
      <c r="Q237" s="37"/>
      <c r="R237" s="42"/>
      <c r="S237" s="37"/>
    </row>
    <row r="238" spans="1:20" x14ac:dyDescent="0.25"/>
    <row r="239" spans="1:20" ht="20.25" customHeight="1" x14ac:dyDescent="0.25">
      <c r="D239" s="184" t="s">
        <v>1264</v>
      </c>
      <c r="E239" s="184"/>
      <c r="F239" s="184"/>
      <c r="G239" s="184"/>
      <c r="H239" s="184"/>
      <c r="I239" s="184"/>
      <c r="J239" s="184"/>
      <c r="K239" s="184"/>
      <c r="L239" s="184"/>
      <c r="M239" s="184"/>
      <c r="N239" s="184"/>
      <c r="O239" s="184"/>
      <c r="P239" s="55"/>
      <c r="R239" s="66">
        <f>IF(AND(R241="Not Available",R243="Not Available",R245="Not Available",R247="Not Available"),"",SUM(R240,R242,R244,PR.61))</f>
        <v>0</v>
      </c>
    </row>
    <row r="240" spans="1:20" x14ac:dyDescent="0.25">
      <c r="B240" s="15" t="s">
        <v>652</v>
      </c>
      <c r="E240" s="184" t="s">
        <v>1027</v>
      </c>
      <c r="F240" s="184"/>
      <c r="G240" s="184"/>
      <c r="H240" s="184"/>
      <c r="I240" s="184"/>
      <c r="J240" s="184"/>
      <c r="K240" s="184"/>
      <c r="L240" s="184"/>
      <c r="M240" s="184"/>
      <c r="N240" s="184"/>
      <c r="O240" s="184"/>
      <c r="P240" s="55" t="s">
        <v>985</v>
      </c>
      <c r="R240" s="17"/>
      <c r="T240" s="11" t="str">
        <f>IF(OR(AND(T241="R",Lending="Yes"),AND(T241="R",Lending&lt;&gt;"Yes")),"R","G")</f>
        <v>G</v>
      </c>
    </row>
    <row r="241" spans="2:20" ht="15" customHeight="1" x14ac:dyDescent="0.25">
      <c r="B241" s="57" t="s">
        <v>1028</v>
      </c>
      <c r="C241" s="57"/>
      <c r="E241" s="54"/>
      <c r="F241" s="54"/>
      <c r="G241" s="54"/>
      <c r="H241" s="54"/>
      <c r="I241" s="54"/>
      <c r="J241" s="54"/>
      <c r="K241" s="54"/>
      <c r="L241" s="54"/>
      <c r="M241" s="185" t="s">
        <v>1022</v>
      </c>
      <c r="N241" s="185"/>
      <c r="O241" s="185"/>
      <c r="P241" s="185"/>
      <c r="R241" s="61"/>
      <c r="T241" s="11" t="str">
        <f>IF(Lending="Yes",IF(OR(AND(ISBLANK(R240),ISBLANK(R241)),AND(NOT(ISBLANK(R240)),R241="Not Available")),"R","G"),IF(Lending&lt;&gt;"Yes",IF(OR(AND(NOT(ISBLANK(R240)),NOT(ISBLANK(R241))),AND(ISBLANK(R240),R241="Not Available"),AND(NOT(ISBLANK(R240)),R241&lt;&gt;"Not Available")),"R","G")))</f>
        <v>G</v>
      </c>
    </row>
    <row r="242" spans="2:20" x14ac:dyDescent="0.25">
      <c r="B242" s="15" t="s">
        <v>653</v>
      </c>
      <c r="E242" s="184" t="s">
        <v>842</v>
      </c>
      <c r="F242" s="184"/>
      <c r="G242" s="184"/>
      <c r="H242" s="184"/>
      <c r="I242" s="184"/>
      <c r="J242" s="184"/>
      <c r="K242" s="184"/>
      <c r="L242" s="184"/>
      <c r="M242" s="184"/>
      <c r="N242" s="184"/>
      <c r="O242" s="184"/>
      <c r="P242" s="55" t="s">
        <v>985</v>
      </c>
      <c r="R242" s="17"/>
      <c r="T242" s="11" t="str">
        <f>IF(OR(AND(T243="R",Lending="Yes"),AND(T243="R",Lending&lt;&gt;"Yes")),"R","G")</f>
        <v>G</v>
      </c>
    </row>
    <row r="243" spans="2:20" ht="15" customHeight="1" x14ac:dyDescent="0.25">
      <c r="B243" s="57" t="s">
        <v>1029</v>
      </c>
      <c r="C243" s="57"/>
      <c r="E243" s="54"/>
      <c r="F243" s="54"/>
      <c r="G243" s="54"/>
      <c r="H243" s="54"/>
      <c r="I243" s="54"/>
      <c r="J243" s="54"/>
      <c r="K243" s="54"/>
      <c r="L243" s="54"/>
      <c r="M243" s="185" t="s">
        <v>1022</v>
      </c>
      <c r="N243" s="185"/>
      <c r="O243" s="185"/>
      <c r="P243" s="185"/>
      <c r="R243" s="61"/>
      <c r="T243" s="11" t="str">
        <f>IF(Lending="Yes",IF(OR(AND(ISBLANK(R242),ISBLANK(R243)),AND(NOT(ISBLANK(R242)),R243="Not Available")),"R","G"),IF(Lending&lt;&gt;"Yes",IF(OR(AND(NOT(ISBLANK(R242)),NOT(ISBLANK(R243))),AND(ISBLANK(R242),R243="Not Available"),AND(NOT(ISBLANK(R242)),R243&lt;&gt;"Not Available")),"R","G")))</f>
        <v>G</v>
      </c>
    </row>
    <row r="244" spans="2:20" x14ac:dyDescent="0.25">
      <c r="B244" s="15" t="s">
        <v>654</v>
      </c>
      <c r="E244" s="184" t="s">
        <v>1050</v>
      </c>
      <c r="F244" s="184"/>
      <c r="G244" s="184"/>
      <c r="H244" s="184"/>
      <c r="I244" s="184"/>
      <c r="J244" s="184"/>
      <c r="K244" s="184"/>
      <c r="L244" s="184"/>
      <c r="M244" s="184"/>
      <c r="N244" s="184"/>
      <c r="O244" s="184"/>
      <c r="P244" s="55" t="s">
        <v>985</v>
      </c>
      <c r="R244" s="17"/>
      <c r="T244" s="11" t="str">
        <f>IF(OR(AND(T245="R",Lending="Yes"),AND(T245="R",Lending&lt;&gt;"Yes")),"R","G")</f>
        <v>G</v>
      </c>
    </row>
    <row r="245" spans="2:20" ht="15" customHeight="1" x14ac:dyDescent="0.25">
      <c r="B245" s="57" t="s">
        <v>1030</v>
      </c>
      <c r="C245" s="57"/>
      <c r="E245" s="54"/>
      <c r="F245" s="54"/>
      <c r="G245" s="54"/>
      <c r="H245" s="54"/>
      <c r="I245" s="54"/>
      <c r="J245" s="54"/>
      <c r="K245" s="54"/>
      <c r="L245" s="54"/>
      <c r="M245" s="185" t="s">
        <v>1022</v>
      </c>
      <c r="N245" s="185"/>
      <c r="O245" s="185"/>
      <c r="P245" s="185"/>
      <c r="R245" s="61"/>
      <c r="T245" s="11" t="str">
        <f>IF(Lending="Yes",IF(OR(AND(ISBLANK(R244),ISBLANK(R245)),AND(NOT(ISBLANK(R244)),R245="Not Available")),"R","G"),IF(Lending&lt;&gt;"Yes",IF(OR(AND(NOT(ISBLANK(R244)),NOT(ISBLANK(R245))),AND(ISBLANK(R244),R245="Not Available"),AND(NOT(ISBLANK(R244)),R245&lt;&gt;"Not Available")),"R","G")))</f>
        <v>G</v>
      </c>
    </row>
    <row r="246" spans="2:20" x14ac:dyDescent="0.25">
      <c r="B246" s="15" t="s">
        <v>655</v>
      </c>
      <c r="E246" s="184" t="s">
        <v>1051</v>
      </c>
      <c r="F246" s="184"/>
      <c r="G246" s="184"/>
      <c r="H246" s="184"/>
      <c r="I246" s="184"/>
      <c r="J246" s="184"/>
      <c r="K246" s="184"/>
      <c r="L246" s="184"/>
      <c r="M246" s="184"/>
      <c r="N246" s="184"/>
      <c r="O246" s="184"/>
      <c r="P246" s="55" t="s">
        <v>985</v>
      </c>
      <c r="R246" s="17"/>
      <c r="T246" s="11" t="str">
        <f>IF(OR(AND(T247="R",Lending="Yes"),AND(T247="R",Lending&lt;&gt;"Yes")),"R","G")</f>
        <v>G</v>
      </c>
    </row>
    <row r="247" spans="2:20" ht="15" customHeight="1" x14ac:dyDescent="0.25">
      <c r="B247" s="57" t="s">
        <v>1031</v>
      </c>
      <c r="C247" s="57"/>
      <c r="E247" s="54"/>
      <c r="F247" s="54"/>
      <c r="G247" s="54"/>
      <c r="H247" s="54"/>
      <c r="I247" s="54"/>
      <c r="J247" s="54"/>
      <c r="K247" s="54"/>
      <c r="L247" s="54"/>
      <c r="M247" s="185" t="s">
        <v>1022</v>
      </c>
      <c r="N247" s="185"/>
      <c r="O247" s="185"/>
      <c r="P247" s="185"/>
      <c r="R247" s="61"/>
      <c r="T247" s="11" t="str">
        <f>IF(Lending="Yes",IF(OR(AND(ISBLANK(R246),ISBLANK(R247)),AND(NOT(ISBLANK(R246)),R247="Not Available")),"R","G"),IF(Lending&lt;&gt;"Yes",IF(OR(AND(NOT(ISBLANK(R246)),NOT(ISBLANK(R247))),AND(ISBLANK(R246),R247="Not Available"),AND(NOT(ISBLANK(R246)),R247&lt;&gt;"Not Available")),"R","G")))</f>
        <v>G</v>
      </c>
    </row>
    <row r="248" spans="2:20" x14ac:dyDescent="0.25">
      <c r="E248" s="54"/>
      <c r="F248" s="54"/>
      <c r="G248" s="54"/>
      <c r="H248" s="54"/>
      <c r="I248" s="54"/>
      <c r="J248" s="54"/>
      <c r="K248" s="54"/>
      <c r="L248" s="54"/>
      <c r="M248" s="54"/>
      <c r="N248" s="54"/>
      <c r="O248" s="54"/>
      <c r="P248" s="55"/>
    </row>
    <row r="249" spans="2:20" ht="30.75" customHeight="1" x14ac:dyDescent="0.25">
      <c r="B249" s="15" t="s">
        <v>656</v>
      </c>
      <c r="D249" s="184" t="s">
        <v>1079</v>
      </c>
      <c r="E249" s="184"/>
      <c r="F249" s="184"/>
      <c r="G249" s="184"/>
      <c r="H249" s="184"/>
      <c r="I249" s="184"/>
      <c r="J249" s="184"/>
      <c r="K249" s="184"/>
      <c r="L249" s="184"/>
      <c r="M249" s="184"/>
      <c r="N249" s="184"/>
      <c r="O249" s="184"/>
      <c r="P249" s="55"/>
      <c r="R249" s="65">
        <f>IF(AND(R251="Not Available",R253="Not Available",R255="Not Available",R257="Not Available"),"",SUM(R250,R252,R254,R256))</f>
        <v>0</v>
      </c>
    </row>
    <row r="250" spans="2:20" x14ac:dyDescent="0.25">
      <c r="B250" s="15" t="s">
        <v>657</v>
      </c>
      <c r="E250" s="184" t="s">
        <v>1033</v>
      </c>
      <c r="F250" s="184"/>
      <c r="G250" s="184"/>
      <c r="H250" s="184"/>
      <c r="I250" s="184"/>
      <c r="J250" s="184"/>
      <c r="K250" s="184"/>
      <c r="L250" s="184"/>
      <c r="M250" s="184"/>
      <c r="N250" s="184"/>
      <c r="O250" s="184"/>
      <c r="P250" s="55" t="s">
        <v>985</v>
      </c>
      <c r="R250" s="64"/>
      <c r="T250" s="11" t="str">
        <f>IF(OR(AND(T251="R",Lending="Yes"),AND(T251="R",Lending&lt;&gt;"Yes")),"R","G")</f>
        <v>G</v>
      </c>
    </row>
    <row r="251" spans="2:20" ht="15" customHeight="1" x14ac:dyDescent="0.25">
      <c r="B251" s="57" t="s">
        <v>1080</v>
      </c>
      <c r="C251" s="57"/>
      <c r="E251" s="54"/>
      <c r="F251" s="54"/>
      <c r="G251" s="54"/>
      <c r="H251" s="54"/>
      <c r="I251" s="54"/>
      <c r="J251" s="54"/>
      <c r="K251" s="54"/>
      <c r="L251" s="54"/>
      <c r="M251" s="185" t="s">
        <v>1022</v>
      </c>
      <c r="N251" s="185"/>
      <c r="O251" s="185"/>
      <c r="P251" s="185"/>
      <c r="R251" s="61"/>
      <c r="T251" s="11" t="str">
        <f>IF(Lending="Yes",IF(OR(AND(ISBLANK(R250),ISBLANK(R251)),AND(NOT(ISBLANK(R250)),R251="Not Available")),"R","G"),IF(Lending&lt;&gt;"Yes",IF(OR(AND(NOT(ISBLANK(R250)),NOT(ISBLANK(R251))),AND(ISBLANK(R250),R251="Not Available"),AND(NOT(ISBLANK(R250)),R251&lt;&gt;"Not Available")),"R","G")))</f>
        <v>G</v>
      </c>
    </row>
    <row r="252" spans="2:20" x14ac:dyDescent="0.25">
      <c r="B252" s="15" t="s">
        <v>658</v>
      </c>
      <c r="E252" s="184" t="s">
        <v>842</v>
      </c>
      <c r="F252" s="184"/>
      <c r="G252" s="184"/>
      <c r="H252" s="184"/>
      <c r="I252" s="184"/>
      <c r="J252" s="184"/>
      <c r="K252" s="184"/>
      <c r="L252" s="184"/>
      <c r="M252" s="184"/>
      <c r="N252" s="184"/>
      <c r="O252" s="184"/>
      <c r="P252" s="55" t="s">
        <v>985</v>
      </c>
      <c r="R252" s="17"/>
      <c r="T252" s="11" t="str">
        <f>IF(OR(AND(T253="R",Lending="Yes"),AND(T253="R",Lending&lt;&gt;"Yes")),"R","G")</f>
        <v>G</v>
      </c>
    </row>
    <row r="253" spans="2:20" ht="15" customHeight="1" x14ac:dyDescent="0.25">
      <c r="B253" s="57" t="s">
        <v>1081</v>
      </c>
      <c r="C253" s="57"/>
      <c r="E253" s="54"/>
      <c r="F253" s="54"/>
      <c r="G253" s="54"/>
      <c r="H253" s="54"/>
      <c r="I253" s="54"/>
      <c r="J253" s="54"/>
      <c r="K253" s="54"/>
      <c r="L253" s="54"/>
      <c r="M253" s="185" t="s">
        <v>1022</v>
      </c>
      <c r="N253" s="185"/>
      <c r="O253" s="185"/>
      <c r="P253" s="185"/>
      <c r="R253" s="61"/>
      <c r="T253" s="11" t="str">
        <f>IF(Lending="Yes",IF(OR(AND(ISBLANK(R252),ISBLANK(R253)),AND(NOT(ISBLANK(R252)),R253="Not Available")),"R","G"),IF(Lending&lt;&gt;"Yes",IF(OR(AND(NOT(ISBLANK(R252)),NOT(ISBLANK(R253))),AND(ISBLANK(R252),R253="Not Available"),AND(NOT(ISBLANK(R252)),R253&lt;&gt;"Not Available")),"R","G")))</f>
        <v>G</v>
      </c>
    </row>
    <row r="254" spans="2:20" x14ac:dyDescent="0.25">
      <c r="B254" s="15" t="s">
        <v>659</v>
      </c>
      <c r="E254" s="184" t="s">
        <v>1050</v>
      </c>
      <c r="F254" s="184"/>
      <c r="G254" s="184"/>
      <c r="H254" s="184"/>
      <c r="I254" s="184"/>
      <c r="J254" s="184"/>
      <c r="K254" s="184"/>
      <c r="L254" s="184"/>
      <c r="M254" s="184"/>
      <c r="N254" s="184"/>
      <c r="O254" s="184"/>
      <c r="P254" s="55" t="s">
        <v>985</v>
      </c>
      <c r="R254" s="17"/>
      <c r="T254" s="11" t="str">
        <f>IF(OR(AND(T255="R",Lending="Yes"),AND(T255="R",Lending&lt;&gt;"Yes")),"R","G")</f>
        <v>G</v>
      </c>
    </row>
    <row r="255" spans="2:20" ht="15" customHeight="1" x14ac:dyDescent="0.25">
      <c r="B255" s="57" t="s">
        <v>1082</v>
      </c>
      <c r="C255" s="57"/>
      <c r="E255" s="54"/>
      <c r="F255" s="54"/>
      <c r="G255" s="54"/>
      <c r="H255" s="54"/>
      <c r="I255" s="54"/>
      <c r="J255" s="54"/>
      <c r="K255" s="54"/>
      <c r="L255" s="54"/>
      <c r="M255" s="185" t="s">
        <v>1022</v>
      </c>
      <c r="N255" s="185"/>
      <c r="O255" s="185"/>
      <c r="P255" s="185"/>
      <c r="R255" s="61"/>
      <c r="T255" s="11" t="str">
        <f>IF(Lending="Yes",IF(OR(AND(ISBLANK(R254),ISBLANK(R255)),AND(NOT(ISBLANK(R254)),R255="Not Available")),"R","G"),IF(Lending&lt;&gt;"Yes",IF(OR(AND(NOT(ISBLANK(R254)),NOT(ISBLANK(R255))),AND(ISBLANK(R254),R255="Not Available"),AND(NOT(ISBLANK(R254)),R255&lt;&gt;"Not Available")),"R","G")))</f>
        <v>G</v>
      </c>
    </row>
    <row r="256" spans="2:20" x14ac:dyDescent="0.25">
      <c r="B256" s="15" t="s">
        <v>660</v>
      </c>
      <c r="E256" s="184" t="s">
        <v>1051</v>
      </c>
      <c r="F256" s="184"/>
      <c r="G256" s="184"/>
      <c r="H256" s="184"/>
      <c r="I256" s="184"/>
      <c r="J256" s="184"/>
      <c r="K256" s="184"/>
      <c r="L256" s="184"/>
      <c r="M256" s="184"/>
      <c r="N256" s="184"/>
      <c r="O256" s="184"/>
      <c r="P256" s="55" t="s">
        <v>985</v>
      </c>
      <c r="R256" s="17"/>
      <c r="T256" s="11" t="str">
        <f>IF(OR(AND(T257="R",Lending="Yes"),AND(T257="R",Lending&lt;&gt;"Yes")),"R","G")</f>
        <v>G</v>
      </c>
    </row>
    <row r="257" spans="1:20" ht="15" customHeight="1" x14ac:dyDescent="0.25">
      <c r="B257" s="57" t="s">
        <v>1083</v>
      </c>
      <c r="C257" s="57"/>
      <c r="E257" s="54"/>
      <c r="F257" s="54"/>
      <c r="G257" s="54"/>
      <c r="H257" s="54"/>
      <c r="I257" s="54"/>
      <c r="J257" s="54"/>
      <c r="K257" s="54"/>
      <c r="L257" s="54"/>
      <c r="M257" s="185" t="s">
        <v>1022</v>
      </c>
      <c r="N257" s="185"/>
      <c r="O257" s="185"/>
      <c r="P257" s="185"/>
      <c r="R257" s="61"/>
      <c r="T257" s="11" t="str">
        <f>IF(Lending="Yes",IF(OR(AND(ISBLANK(R256),ISBLANK(R257)),AND(NOT(ISBLANK(R256)),R257="Not Available")),"R","G"),IF(Lending&lt;&gt;"Yes",IF(OR(AND(NOT(ISBLANK(R256)),NOT(ISBLANK(R257))),AND(ISBLANK(R256),R257="Not Available"),AND(NOT(ISBLANK(R256)),R257&lt;&gt;"Not Available")),"R","G")))</f>
        <v>G</v>
      </c>
    </row>
    <row r="258" spans="1:20" x14ac:dyDescent="0.25">
      <c r="E258" s="54"/>
      <c r="F258" s="54"/>
      <c r="G258" s="54"/>
      <c r="H258" s="54"/>
      <c r="I258" s="54"/>
      <c r="J258" s="54"/>
      <c r="K258" s="54"/>
      <c r="L258" s="54"/>
      <c r="M258" s="54"/>
      <c r="N258" s="54"/>
      <c r="O258" s="54"/>
      <c r="P258" s="55"/>
    </row>
    <row r="259" spans="1:20" ht="29.25" customHeight="1" x14ac:dyDescent="0.25">
      <c r="B259" s="15" t="s">
        <v>661</v>
      </c>
      <c r="D259" s="184" t="s">
        <v>1053</v>
      </c>
      <c r="E259" s="184"/>
      <c r="F259" s="184"/>
      <c r="G259" s="184"/>
      <c r="H259" s="184"/>
      <c r="I259" s="184"/>
      <c r="J259" s="184"/>
      <c r="K259" s="184"/>
      <c r="L259" s="184"/>
      <c r="M259" s="184"/>
      <c r="N259" s="184"/>
      <c r="O259" s="184"/>
      <c r="P259" s="55"/>
      <c r="R259" s="67"/>
      <c r="T259" s="11" t="str">
        <f>IF(OR(AND(T260="R",Lending="Yes"),AND(T260="R",Lending&lt;&gt;"Yes")),"R","G")</f>
        <v>G</v>
      </c>
    </row>
    <row r="260" spans="1:20" ht="15" customHeight="1" x14ac:dyDescent="0.25">
      <c r="B260" s="57" t="s">
        <v>1034</v>
      </c>
      <c r="C260" s="57"/>
      <c r="E260" s="54"/>
      <c r="F260" s="54"/>
      <c r="G260" s="54"/>
      <c r="H260" s="54"/>
      <c r="I260" s="54"/>
      <c r="J260" s="54"/>
      <c r="K260" s="54"/>
      <c r="L260" s="54"/>
      <c r="M260" s="185" t="s">
        <v>1022</v>
      </c>
      <c r="N260" s="185"/>
      <c r="O260" s="185"/>
      <c r="P260" s="185"/>
      <c r="R260" s="18"/>
      <c r="T260" s="11" t="str">
        <f>IF(Lending="Yes",IF(OR(AND(ISBLANK(R259),ISBLANK(R260)),AND(NOT(ISBLANK(R259)),R260="Not Available")),"R","G"),IF(Lending&lt;&gt;"Yes",IF(OR(AND(NOT(ISBLANK(R259)),NOT(ISBLANK(R260))),AND(ISBLANK(R259),R260="Not Available"),AND(NOT(ISBLANK(R259)),R260&lt;&gt;"Not Available")),"R","G")))</f>
        <v>G</v>
      </c>
    </row>
    <row r="261" spans="1:20" x14ac:dyDescent="0.25">
      <c r="E261" s="54"/>
      <c r="F261" s="54"/>
      <c r="G261" s="54"/>
      <c r="H261" s="54"/>
      <c r="I261" s="54"/>
      <c r="J261" s="54"/>
      <c r="K261" s="54"/>
      <c r="L261" s="54"/>
      <c r="M261" s="54"/>
      <c r="N261" s="54"/>
      <c r="O261" s="54"/>
      <c r="P261" s="55"/>
    </row>
    <row r="262" spans="1:20" ht="15" customHeight="1" x14ac:dyDescent="0.25">
      <c r="B262" s="15" t="s">
        <v>662</v>
      </c>
      <c r="D262" s="184" t="s">
        <v>1054</v>
      </c>
      <c r="E262" s="184"/>
      <c r="F262" s="184"/>
      <c r="G262" s="184"/>
      <c r="H262" s="184"/>
      <c r="I262" s="184"/>
      <c r="J262" s="184"/>
      <c r="K262" s="184"/>
      <c r="L262" s="184"/>
      <c r="M262" s="184"/>
      <c r="N262" s="184"/>
      <c r="O262" s="184"/>
      <c r="P262" s="55" t="s">
        <v>985</v>
      </c>
      <c r="R262" s="17"/>
      <c r="T262" s="11" t="str">
        <f>IF(OR(AND(T263="R",Lending="Yes"),AND(T263="R",Lending&lt;&gt;"Yes")),"R","G")</f>
        <v>G</v>
      </c>
    </row>
    <row r="263" spans="1:20" ht="15" customHeight="1" x14ac:dyDescent="0.25">
      <c r="B263" s="57" t="s">
        <v>1035</v>
      </c>
      <c r="C263" s="57"/>
      <c r="E263" s="54"/>
      <c r="F263" s="54"/>
      <c r="G263" s="54"/>
      <c r="H263" s="54"/>
      <c r="I263" s="54"/>
      <c r="J263" s="54"/>
      <c r="K263" s="54"/>
      <c r="L263" s="54"/>
      <c r="M263" s="185" t="s">
        <v>1022</v>
      </c>
      <c r="N263" s="185"/>
      <c r="O263" s="185"/>
      <c r="P263" s="185"/>
      <c r="R263" s="61"/>
      <c r="T263" s="11" t="str">
        <f>IF(Lending="Yes",IF(OR(AND(ISBLANK(R262),ISBLANK(R263)),AND(NOT(ISBLANK(R262)),R263="Not Available")),"R","G"),IF(Lending&lt;&gt;"Yes",IF(OR(AND(NOT(ISBLANK(R262)),NOT(ISBLANK(R263))),AND(ISBLANK(R262),R263="Not Available"),AND(NOT(ISBLANK(R262)),R263&lt;&gt;"Not Available")),"R","G")))</f>
        <v>G</v>
      </c>
    </row>
    <row r="264" spans="1:20" x14ac:dyDescent="0.25">
      <c r="B264" s="10"/>
      <c r="C264" s="10"/>
      <c r="D264" s="10"/>
      <c r="E264" s="10"/>
      <c r="F264" s="10"/>
      <c r="G264" s="10"/>
      <c r="H264" s="10"/>
      <c r="I264" s="10"/>
      <c r="J264" s="10"/>
      <c r="K264" s="10"/>
      <c r="L264" s="10"/>
      <c r="M264" s="10"/>
      <c r="N264" s="10"/>
      <c r="O264" s="10"/>
      <c r="P264" s="10"/>
      <c r="R264" s="10"/>
    </row>
    <row r="265" spans="1:20" ht="7.35" customHeight="1" x14ac:dyDescent="0.25">
      <c r="B265" s="71"/>
      <c r="C265" s="71"/>
      <c r="D265" s="15"/>
      <c r="E265" s="15"/>
      <c r="F265" s="15"/>
      <c r="G265" s="15"/>
      <c r="H265" s="15"/>
      <c r="I265" s="15"/>
      <c r="J265" s="15"/>
      <c r="K265" s="15"/>
      <c r="L265" s="15"/>
      <c r="M265" s="72"/>
      <c r="N265" s="72"/>
      <c r="O265" s="72"/>
      <c r="P265" s="72"/>
      <c r="Q265" s="73"/>
      <c r="R265" s="74"/>
    </row>
    <row r="266" spans="1:20" ht="7.15" customHeight="1" x14ac:dyDescent="0.25">
      <c r="A266" s="75"/>
      <c r="B266" s="76"/>
      <c r="C266" s="76"/>
      <c r="D266" s="77"/>
      <c r="E266" s="77"/>
      <c r="F266" s="77"/>
      <c r="G266" s="77"/>
      <c r="H266" s="77"/>
      <c r="I266" s="77"/>
      <c r="J266" s="77"/>
      <c r="K266" s="77"/>
      <c r="L266" s="77"/>
      <c r="M266" s="77"/>
      <c r="N266" s="77"/>
      <c r="O266" s="77"/>
      <c r="P266" s="77"/>
      <c r="Q266" s="75"/>
      <c r="R266" s="78"/>
      <c r="S266" s="75"/>
      <c r="T266" s="12"/>
    </row>
    <row r="267" spans="1:20" ht="7.35" customHeight="1" x14ac:dyDescent="0.25">
      <c r="B267" s="71"/>
      <c r="C267" s="71"/>
      <c r="D267" s="15"/>
      <c r="E267" s="15"/>
      <c r="F267" s="15"/>
      <c r="G267" s="15"/>
      <c r="H267" s="15"/>
      <c r="I267" s="15"/>
      <c r="J267" s="15"/>
      <c r="K267" s="15"/>
      <c r="L267" s="15"/>
      <c r="M267" s="15"/>
      <c r="N267" s="15"/>
      <c r="O267" s="15"/>
      <c r="P267" s="15"/>
      <c r="R267" s="74"/>
    </row>
    <row r="268" spans="1:20" ht="19.5" thickBot="1" x14ac:dyDescent="0.3">
      <c r="A268" s="37"/>
      <c r="B268" s="38" t="s">
        <v>187</v>
      </c>
      <c r="C268" s="38"/>
      <c r="D268" s="39" t="s">
        <v>1126</v>
      </c>
      <c r="E268" s="40"/>
      <c r="F268" s="40"/>
      <c r="G268" s="40"/>
      <c r="H268" s="40"/>
      <c r="I268" s="40"/>
      <c r="J268" s="40"/>
      <c r="K268" s="40"/>
      <c r="L268" s="40"/>
      <c r="M268" s="40"/>
      <c r="N268" s="40"/>
      <c r="O268" s="40"/>
      <c r="P268" s="41"/>
      <c r="Q268" s="37"/>
      <c r="R268" s="42"/>
      <c r="S268" s="37"/>
    </row>
    <row r="269" spans="1:20" x14ac:dyDescent="0.25"/>
    <row r="270" spans="1:20" ht="45" customHeight="1" x14ac:dyDescent="0.25">
      <c r="B270" s="15" t="s">
        <v>663</v>
      </c>
      <c r="D270" s="184" t="s">
        <v>843</v>
      </c>
      <c r="E270" s="184"/>
      <c r="F270" s="184"/>
      <c r="G270" s="184"/>
      <c r="H270" s="184"/>
      <c r="I270" s="184"/>
      <c r="J270" s="184"/>
      <c r="K270" s="184"/>
      <c r="L270" s="184"/>
      <c r="M270" s="184"/>
      <c r="N270" s="184"/>
      <c r="O270" s="184"/>
      <c r="R270" s="18"/>
      <c r="S270" s="52"/>
      <c r="T270" s="11" t="str">
        <f>IF(OR(AND(Broking&lt;&gt;"Yes",OR(R270&lt;0%,R270&gt;100%,NOT(ISBLANK(R270)))),AND(Broking="Yes",OR(R270&lt;0%,R270&gt;100%,ISBLANK(R270)))),"R","G")</f>
        <v>G</v>
      </c>
    </row>
    <row r="271" spans="1:20" x14ac:dyDescent="0.25">
      <c r="E271" s="54"/>
      <c r="F271" s="54"/>
      <c r="G271" s="54"/>
      <c r="H271" s="54"/>
      <c r="I271" s="54"/>
      <c r="J271" s="54"/>
      <c r="K271" s="54"/>
      <c r="L271" s="54"/>
      <c r="M271" s="54"/>
      <c r="N271" s="54"/>
      <c r="O271" s="54"/>
    </row>
    <row r="272" spans="1:20" ht="15" customHeight="1" x14ac:dyDescent="0.25">
      <c r="B272" s="15" t="s">
        <v>664</v>
      </c>
      <c r="D272" s="184" t="s">
        <v>844</v>
      </c>
      <c r="E272" s="184"/>
      <c r="F272" s="184"/>
      <c r="G272" s="184"/>
      <c r="H272" s="184"/>
      <c r="I272" s="184"/>
      <c r="J272" s="184"/>
      <c r="K272" s="184"/>
      <c r="L272" s="184"/>
      <c r="M272" s="184"/>
      <c r="N272" s="184"/>
      <c r="O272" s="184"/>
      <c r="R272" s="16"/>
      <c r="T272" s="11" t="str">
        <f>IF(OR(AND(ISBLANK(R272),R270&gt;0%),AND(NOT(ISBLANK(R272)),R270&lt;=0%)),"R","G")</f>
        <v>G</v>
      </c>
    </row>
    <row r="273" spans="1:20" x14ac:dyDescent="0.25">
      <c r="B273" s="10"/>
      <c r="C273" s="10"/>
      <c r="D273" s="10"/>
      <c r="E273" s="10"/>
      <c r="F273" s="10"/>
      <c r="G273" s="10"/>
      <c r="H273" s="10"/>
      <c r="I273" s="10"/>
      <c r="J273" s="10"/>
      <c r="K273" s="10"/>
      <c r="L273" s="10"/>
      <c r="M273" s="10"/>
      <c r="N273" s="10"/>
      <c r="O273" s="10"/>
      <c r="P273" s="10"/>
      <c r="R273" s="10"/>
    </row>
    <row r="274" spans="1:20" ht="7.35" customHeight="1" x14ac:dyDescent="0.25">
      <c r="B274" s="71"/>
      <c r="C274" s="71"/>
      <c r="D274" s="15"/>
      <c r="E274" s="15"/>
      <c r="F274" s="15"/>
      <c r="G274" s="15"/>
      <c r="H274" s="15"/>
      <c r="I274" s="15"/>
      <c r="J274" s="15"/>
      <c r="K274" s="15"/>
      <c r="L274" s="15"/>
      <c r="M274" s="72"/>
      <c r="N274" s="72"/>
      <c r="O274" s="72"/>
      <c r="P274" s="72"/>
      <c r="Q274" s="73"/>
      <c r="R274" s="74"/>
    </row>
    <row r="275" spans="1:20" ht="7.15" customHeight="1" x14ac:dyDescent="0.25">
      <c r="A275" s="75"/>
      <c r="B275" s="76"/>
      <c r="C275" s="76"/>
      <c r="D275" s="77"/>
      <c r="E275" s="77"/>
      <c r="F275" s="77"/>
      <c r="G275" s="77"/>
      <c r="H275" s="77"/>
      <c r="I275" s="77"/>
      <c r="J275" s="77"/>
      <c r="K275" s="77"/>
      <c r="L275" s="77"/>
      <c r="M275" s="77"/>
      <c r="N275" s="77"/>
      <c r="O275" s="77"/>
      <c r="P275" s="77"/>
      <c r="Q275" s="75"/>
      <c r="R275" s="78"/>
      <c r="S275" s="75"/>
      <c r="T275" s="12"/>
    </row>
    <row r="276" spans="1:20" ht="7.35" customHeight="1" x14ac:dyDescent="0.25">
      <c r="B276" s="71"/>
      <c r="C276" s="71"/>
      <c r="D276" s="15"/>
      <c r="E276" s="15"/>
      <c r="F276" s="15"/>
      <c r="G276" s="15"/>
      <c r="H276" s="15"/>
      <c r="I276" s="15"/>
      <c r="J276" s="15"/>
      <c r="K276" s="15"/>
      <c r="L276" s="15"/>
      <c r="M276" s="15"/>
      <c r="N276" s="15"/>
      <c r="O276" s="15"/>
      <c r="P276" s="15"/>
      <c r="R276" s="74"/>
    </row>
    <row r="277" spans="1:20" ht="19.5" thickBot="1" x14ac:dyDescent="0.3">
      <c r="A277" s="37"/>
      <c r="B277" s="38" t="s">
        <v>188</v>
      </c>
      <c r="C277" s="38"/>
      <c r="D277" s="39" t="s">
        <v>1127</v>
      </c>
      <c r="E277" s="40"/>
      <c r="F277" s="40"/>
      <c r="G277" s="40"/>
      <c r="H277" s="40"/>
      <c r="I277" s="40"/>
      <c r="J277" s="40"/>
      <c r="K277" s="40"/>
      <c r="L277" s="40"/>
      <c r="M277" s="40"/>
      <c r="N277" s="40"/>
      <c r="O277" s="40"/>
      <c r="P277" s="41"/>
      <c r="Q277" s="37"/>
      <c r="R277" s="42"/>
      <c r="S277" s="37"/>
    </row>
    <row r="278" spans="1:20" x14ac:dyDescent="0.25"/>
    <row r="279" spans="1:20" ht="33" customHeight="1" x14ac:dyDescent="0.25">
      <c r="B279" s="15" t="s">
        <v>665</v>
      </c>
      <c r="D279" s="184" t="s">
        <v>1143</v>
      </c>
      <c r="E279" s="184"/>
      <c r="F279" s="184"/>
      <c r="G279" s="184"/>
      <c r="H279" s="184"/>
      <c r="I279" s="184"/>
      <c r="J279" s="184"/>
      <c r="K279" s="184"/>
      <c r="L279" s="184"/>
      <c r="M279" s="184"/>
      <c r="N279" s="184"/>
      <c r="O279" s="184"/>
      <c r="R279" s="16"/>
      <c r="T279" s="11" t="str">
        <f>IF(OR(AND(ISBLANK(R279),Other="Yes"),AND(NOT(ISBLANK(R279)),Other&lt;&gt;"Yes")),"R","G")</f>
        <v>G</v>
      </c>
    </row>
    <row r="280" spans="1:20" ht="15" customHeight="1" x14ac:dyDescent="0.25">
      <c r="B280" s="57" t="s">
        <v>1036</v>
      </c>
      <c r="C280" s="57"/>
      <c r="E280" s="54"/>
      <c r="F280" s="54"/>
      <c r="G280" s="54"/>
      <c r="H280" s="54"/>
      <c r="I280" s="54"/>
      <c r="J280" s="54"/>
      <c r="K280" s="54"/>
      <c r="L280" s="54"/>
      <c r="M280" s="185" t="s">
        <v>1037</v>
      </c>
      <c r="N280" s="185"/>
      <c r="O280" s="185"/>
      <c r="P280" s="185"/>
      <c r="R280" s="16"/>
      <c r="T280" s="11" t="str">
        <f>IF(OR(AND(R279&lt;&gt;"Yes",NOT(ISBLANK(R280))),AND(R279="Yes",ISBLANK(R280))),"R","G")</f>
        <v>G</v>
      </c>
    </row>
    <row r="281" spans="1:20" x14ac:dyDescent="0.25">
      <c r="B281" s="10"/>
      <c r="C281" s="10"/>
      <c r="D281" s="10"/>
      <c r="E281" s="10"/>
      <c r="F281" s="10"/>
      <c r="G281" s="10"/>
      <c r="H281" s="10"/>
      <c r="I281" s="10"/>
      <c r="J281" s="10"/>
      <c r="K281" s="10"/>
      <c r="L281" s="10"/>
      <c r="M281" s="10"/>
      <c r="N281" s="10"/>
      <c r="O281" s="10"/>
      <c r="P281" s="10"/>
      <c r="R281" s="10"/>
    </row>
    <row r="282" spans="1:20" ht="7.35" customHeight="1" x14ac:dyDescent="0.25">
      <c r="B282" s="71"/>
      <c r="C282" s="71"/>
      <c r="D282" s="15"/>
      <c r="E282" s="15"/>
      <c r="F282" s="15"/>
      <c r="G282" s="15"/>
      <c r="H282" s="15"/>
      <c r="I282" s="15"/>
      <c r="J282" s="15"/>
      <c r="K282" s="15"/>
      <c r="L282" s="15"/>
      <c r="M282" s="72"/>
      <c r="N282" s="72"/>
      <c r="O282" s="72"/>
      <c r="P282" s="72"/>
      <c r="Q282" s="73"/>
      <c r="R282" s="74"/>
    </row>
    <row r="283" spans="1:20" ht="7.15" customHeight="1" x14ac:dyDescent="0.25">
      <c r="A283" s="75"/>
      <c r="B283" s="76"/>
      <c r="C283" s="76"/>
      <c r="D283" s="77"/>
      <c r="E283" s="77"/>
      <c r="F283" s="77"/>
      <c r="G283" s="77"/>
      <c r="H283" s="77"/>
      <c r="I283" s="77"/>
      <c r="J283" s="77"/>
      <c r="K283" s="77"/>
      <c r="L283" s="77"/>
      <c r="M283" s="77"/>
      <c r="N283" s="77"/>
      <c r="O283" s="77"/>
      <c r="P283" s="77"/>
      <c r="Q283" s="75"/>
      <c r="R283" s="78"/>
      <c r="S283" s="75"/>
      <c r="T283" s="12"/>
    </row>
    <row r="284" spans="1:20" ht="7.35" customHeight="1" x14ac:dyDescent="0.25">
      <c r="B284" s="71"/>
      <c r="C284" s="71"/>
      <c r="D284" s="15"/>
      <c r="E284" s="15"/>
      <c r="F284" s="15"/>
      <c r="G284" s="15"/>
      <c r="H284" s="15"/>
      <c r="I284" s="15"/>
      <c r="J284" s="15"/>
      <c r="K284" s="15"/>
      <c r="L284" s="15"/>
      <c r="M284" s="15"/>
      <c r="N284" s="15"/>
      <c r="O284" s="15"/>
      <c r="P284" s="15"/>
      <c r="R284" s="74"/>
    </row>
    <row r="285" spans="1:20" ht="19.5" thickBot="1" x14ac:dyDescent="0.3">
      <c r="A285" s="37"/>
      <c r="B285" s="38" t="s">
        <v>203</v>
      </c>
      <c r="C285" s="38"/>
      <c r="D285" s="39" t="s">
        <v>1128</v>
      </c>
      <c r="E285" s="40"/>
      <c r="F285" s="40"/>
      <c r="G285" s="40"/>
      <c r="H285" s="40"/>
      <c r="I285" s="40"/>
      <c r="J285" s="40"/>
      <c r="K285" s="40"/>
      <c r="L285" s="40"/>
      <c r="M285" s="40"/>
      <c r="N285" s="40"/>
      <c r="O285" s="40"/>
      <c r="P285" s="41"/>
      <c r="Q285" s="37"/>
      <c r="R285" s="42"/>
      <c r="S285" s="37"/>
    </row>
    <row r="286" spans="1:20" x14ac:dyDescent="0.25">
      <c r="E286" s="54"/>
      <c r="F286" s="54"/>
      <c r="G286" s="54"/>
      <c r="H286" s="54"/>
      <c r="I286" s="54"/>
      <c r="J286" s="54"/>
      <c r="K286" s="54"/>
      <c r="L286" s="54"/>
      <c r="M286" s="54"/>
      <c r="N286" s="54"/>
      <c r="O286" s="54"/>
    </row>
    <row r="287" spans="1:20" x14ac:dyDescent="0.25">
      <c r="B287" s="15" t="s">
        <v>666</v>
      </c>
      <c r="D287" s="184" t="s">
        <v>1324</v>
      </c>
      <c r="E287" s="184"/>
      <c r="F287" s="184"/>
      <c r="G287" s="184"/>
      <c r="H287" s="184"/>
      <c r="I287" s="184"/>
      <c r="J287" s="184"/>
      <c r="K287" s="184"/>
      <c r="L287" s="184"/>
      <c r="M287" s="184"/>
      <c r="N287" s="184"/>
      <c r="O287" s="184"/>
      <c r="P287" s="55" t="s">
        <v>985</v>
      </c>
      <c r="R287" s="17"/>
      <c r="T287" s="11" t="str">
        <f>IF(OR(AND(T288="R",Underwriting="Yes"),AND(T288="R",Underwriting&lt;&gt;"Yes")),"R","G")</f>
        <v>G</v>
      </c>
    </row>
    <row r="288" spans="1:20" x14ac:dyDescent="0.25">
      <c r="B288" s="57" t="s">
        <v>1038</v>
      </c>
      <c r="C288" s="57"/>
      <c r="E288" s="54"/>
      <c r="F288" s="54"/>
      <c r="G288" s="54"/>
      <c r="H288" s="54"/>
      <c r="I288" s="54"/>
      <c r="J288" s="54"/>
      <c r="K288" s="54"/>
      <c r="L288" s="54"/>
      <c r="M288" s="185" t="s">
        <v>1022</v>
      </c>
      <c r="N288" s="185"/>
      <c r="O288" s="185"/>
      <c r="P288" s="185"/>
      <c r="R288" s="61"/>
      <c r="T288" s="11" t="str">
        <f>IF(Underwriting="Yes",IF(OR(AND(ISBLANK(R287),ISBLANK(R288)),AND(NOT(ISBLANK(R287)),R288="Not Available")),"R","G"),IF(Underwriting&lt;&gt;"Yes",IF(OR(AND(NOT(ISBLANK(R287)),NOT(ISBLANK(R288))),AND(ISBLANK(R287),R288="Not Available"),AND(NOT(ISBLANK(R287)),R288&lt;&gt;"Not Available")),"R","G")))</f>
        <v>G</v>
      </c>
    </row>
    <row r="289" spans="1:20" x14ac:dyDescent="0.25">
      <c r="E289" s="54"/>
      <c r="F289" s="54"/>
      <c r="G289" s="54"/>
      <c r="H289" s="54"/>
      <c r="I289" s="54"/>
      <c r="J289" s="54"/>
      <c r="K289" s="54"/>
      <c r="L289" s="54"/>
      <c r="M289" s="54"/>
      <c r="N289" s="54"/>
      <c r="O289" s="54"/>
    </row>
    <row r="290" spans="1:20" ht="32.25" customHeight="1" x14ac:dyDescent="0.25">
      <c r="B290" s="15" t="s">
        <v>667</v>
      </c>
      <c r="D290" s="184" t="s">
        <v>845</v>
      </c>
      <c r="E290" s="184"/>
      <c r="F290" s="184"/>
      <c r="G290" s="184"/>
      <c r="H290" s="184"/>
      <c r="I290" s="184"/>
      <c r="J290" s="184"/>
      <c r="K290" s="184"/>
      <c r="L290" s="184"/>
      <c r="M290" s="184"/>
      <c r="N290" s="184"/>
      <c r="O290" s="184"/>
      <c r="P290" s="55" t="s">
        <v>985</v>
      </c>
      <c r="R290" s="17"/>
      <c r="T290" s="11" t="str">
        <f>IF(OR(AND(T291="R",Underwriting="Yes"),AND(T291="R",Underwriting&lt;&gt;"Yes")),"R","G")</f>
        <v>G</v>
      </c>
    </row>
    <row r="291" spans="1:20" x14ac:dyDescent="0.25">
      <c r="B291" s="57" t="s">
        <v>1039</v>
      </c>
      <c r="C291" s="57"/>
      <c r="E291" s="54"/>
      <c r="F291" s="54"/>
      <c r="G291" s="54"/>
      <c r="H291" s="54"/>
      <c r="I291" s="54"/>
      <c r="J291" s="54"/>
      <c r="K291" s="54"/>
      <c r="L291" s="54"/>
      <c r="M291" s="185" t="s">
        <v>1022</v>
      </c>
      <c r="N291" s="185"/>
      <c r="O291" s="185"/>
      <c r="P291" s="185"/>
      <c r="R291" s="61"/>
      <c r="T291" s="11" t="str">
        <f>IF(Underwriting="Yes",IF(OR(AND(ISBLANK(R290),ISBLANK(R291)),AND(NOT(ISBLANK(R290)),R291="Not Available")),"R","G"),IF(Underwriting&lt;&gt;"Yes",IF(OR(AND(NOT(ISBLANK(R290)),NOT(ISBLANK(R291))),AND(ISBLANK(R290),R291="Not Available"),AND(NOT(ISBLANK(R290)),R291&lt;&gt;"Not Available")),"R","G")))</f>
        <v>G</v>
      </c>
    </row>
    <row r="292" spans="1:20" x14ac:dyDescent="0.25">
      <c r="B292" s="10"/>
      <c r="C292" s="10"/>
      <c r="D292" s="10"/>
      <c r="E292" s="10"/>
      <c r="F292" s="10"/>
      <c r="G292" s="10"/>
      <c r="H292" s="10"/>
      <c r="I292" s="10"/>
      <c r="J292" s="10"/>
      <c r="K292" s="10"/>
      <c r="L292" s="10"/>
      <c r="M292" s="10"/>
      <c r="N292" s="10"/>
      <c r="O292" s="10"/>
      <c r="P292" s="10"/>
      <c r="R292" s="10"/>
    </row>
    <row r="293" spans="1:20" ht="7.35" customHeight="1" x14ac:dyDescent="0.25">
      <c r="B293" s="71"/>
      <c r="C293" s="71"/>
      <c r="D293" s="15"/>
      <c r="E293" s="15"/>
      <c r="F293" s="15"/>
      <c r="G293" s="15"/>
      <c r="H293" s="15"/>
      <c r="I293" s="15"/>
      <c r="J293" s="15"/>
      <c r="K293" s="15"/>
      <c r="L293" s="15"/>
      <c r="M293" s="72"/>
      <c r="N293" s="72"/>
      <c r="O293" s="72"/>
      <c r="P293" s="72"/>
      <c r="Q293" s="73"/>
      <c r="R293" s="74"/>
    </row>
    <row r="294" spans="1:20" ht="7.15" customHeight="1" x14ac:dyDescent="0.25">
      <c r="A294" s="75"/>
      <c r="B294" s="76"/>
      <c r="C294" s="76"/>
      <c r="D294" s="77"/>
      <c r="E294" s="77"/>
      <c r="F294" s="77"/>
      <c r="G294" s="77"/>
      <c r="H294" s="77"/>
      <c r="I294" s="77"/>
      <c r="J294" s="77"/>
      <c r="K294" s="77"/>
      <c r="L294" s="77"/>
      <c r="M294" s="77"/>
      <c r="N294" s="77"/>
      <c r="O294" s="77"/>
      <c r="P294" s="77"/>
      <c r="Q294" s="75"/>
      <c r="R294" s="78"/>
      <c r="S294" s="75"/>
      <c r="T294" s="12"/>
    </row>
    <row r="295" spans="1:20" ht="7.35" customHeight="1" x14ac:dyDescent="0.25">
      <c r="B295" s="71"/>
      <c r="C295" s="71"/>
      <c r="D295" s="15"/>
      <c r="E295" s="15"/>
      <c r="F295" s="15"/>
      <c r="G295" s="15"/>
      <c r="H295" s="15"/>
      <c r="I295" s="15"/>
      <c r="J295" s="15"/>
      <c r="K295" s="15"/>
      <c r="L295" s="15"/>
      <c r="M295" s="15"/>
      <c r="N295" s="15"/>
      <c r="O295" s="15"/>
      <c r="P295" s="15"/>
      <c r="R295" s="74"/>
    </row>
    <row r="296" spans="1:20" ht="18.75" x14ac:dyDescent="0.25">
      <c r="B296" s="182" t="s">
        <v>1129</v>
      </c>
      <c r="C296" s="62"/>
      <c r="D296" s="63" t="s">
        <v>1198</v>
      </c>
      <c r="E296" s="63"/>
      <c r="F296" s="63"/>
      <c r="G296" s="63"/>
      <c r="H296" s="63"/>
      <c r="I296" s="63"/>
      <c r="J296" s="63"/>
      <c r="K296" s="63"/>
      <c r="L296" s="63"/>
      <c r="M296" s="63"/>
      <c r="N296" s="63"/>
      <c r="O296" s="63"/>
      <c r="P296" s="63"/>
      <c r="Q296" s="63"/>
      <c r="R296" s="63"/>
    </row>
    <row r="297" spans="1:20" ht="19.5" thickBot="1" x14ac:dyDescent="0.3">
      <c r="A297" s="37"/>
      <c r="B297" s="183"/>
      <c r="C297" s="38"/>
      <c r="D297" s="79" t="s">
        <v>1196</v>
      </c>
      <c r="E297" s="39"/>
      <c r="F297" s="39"/>
      <c r="G297" s="39"/>
      <c r="H297" s="39"/>
      <c r="I297" s="39"/>
      <c r="J297" s="39"/>
      <c r="K297" s="39"/>
      <c r="L297" s="39"/>
      <c r="M297" s="39"/>
      <c r="N297" s="39"/>
      <c r="O297" s="39"/>
      <c r="P297" s="39"/>
      <c r="Q297" s="39"/>
      <c r="R297" s="39"/>
      <c r="S297" s="37"/>
    </row>
    <row r="298" spans="1:20" x14ac:dyDescent="0.25">
      <c r="E298" s="54"/>
      <c r="F298" s="54"/>
      <c r="G298" s="54"/>
      <c r="H298" s="54"/>
      <c r="I298" s="54"/>
      <c r="J298" s="54"/>
      <c r="K298" s="54"/>
      <c r="L298" s="54"/>
      <c r="M298" s="54"/>
      <c r="N298" s="54"/>
      <c r="O298" s="54"/>
    </row>
    <row r="299" spans="1:20" x14ac:dyDescent="0.25">
      <c r="B299" s="15" t="s">
        <v>668</v>
      </c>
      <c r="D299" s="184" t="s">
        <v>846</v>
      </c>
      <c r="E299" s="184"/>
      <c r="F299" s="184"/>
      <c r="G299" s="184"/>
      <c r="H299" s="184"/>
      <c r="I299" s="184"/>
      <c r="J299" s="184"/>
      <c r="K299" s="184"/>
      <c r="L299" s="184"/>
      <c r="M299" s="184"/>
      <c r="N299" s="184"/>
      <c r="O299" s="184"/>
      <c r="P299" s="55" t="s">
        <v>985</v>
      </c>
      <c r="R299" s="17"/>
      <c r="T299" s="11" t="str">
        <f>IF(OR(AND(T300="R",Trading="Yes"),AND(T300="R",Trading&lt;&gt;"Yes")),"R","G")</f>
        <v>G</v>
      </c>
    </row>
    <row r="300" spans="1:20" x14ac:dyDescent="0.25">
      <c r="B300" s="57" t="s">
        <v>1040</v>
      </c>
      <c r="C300" s="57"/>
      <c r="E300" s="54"/>
      <c r="F300" s="54"/>
      <c r="G300" s="54"/>
      <c r="H300" s="54"/>
      <c r="I300" s="54"/>
      <c r="J300" s="54"/>
      <c r="K300" s="54"/>
      <c r="L300" s="54"/>
      <c r="M300" s="185" t="s">
        <v>1022</v>
      </c>
      <c r="N300" s="185"/>
      <c r="O300" s="185"/>
      <c r="P300" s="185"/>
      <c r="R300" s="61"/>
      <c r="T300" s="11" t="str">
        <f>IF(Trading="Yes",IF(OR(AND(ISBLANK(R299),ISBLANK(R300)),AND(NOT(ISBLANK(R299)),R300="Not Available")),"R","G"),IF(Trading&lt;&gt;"Yes",IF(OR(AND(NOT(ISBLANK(R299)),NOT(ISBLANK(R300))),AND(ISBLANK(R299),R300="Not Available"),AND(NOT(ISBLANK(R299)),R300&lt;&gt;"Not Available")),"R","G")))</f>
        <v>G</v>
      </c>
    </row>
    <row r="301" spans="1:20" x14ac:dyDescent="0.25">
      <c r="E301" s="54"/>
      <c r="F301" s="54"/>
      <c r="G301" s="54"/>
      <c r="H301" s="54"/>
      <c r="I301" s="54"/>
      <c r="J301" s="54"/>
      <c r="K301" s="54"/>
      <c r="L301" s="54"/>
      <c r="M301" s="54"/>
      <c r="N301" s="54"/>
      <c r="O301" s="54"/>
    </row>
    <row r="302" spans="1:20" x14ac:dyDescent="0.25">
      <c r="B302" s="15" t="s">
        <v>669</v>
      </c>
      <c r="D302" s="184" t="s">
        <v>847</v>
      </c>
      <c r="E302" s="184"/>
      <c r="F302" s="184"/>
      <c r="G302" s="184"/>
      <c r="H302" s="184"/>
      <c r="I302" s="184"/>
      <c r="J302" s="184"/>
      <c r="K302" s="184"/>
      <c r="L302" s="184"/>
      <c r="M302" s="184"/>
      <c r="N302" s="184"/>
      <c r="O302" s="184"/>
      <c r="P302" s="55" t="s">
        <v>985</v>
      </c>
      <c r="R302" s="17"/>
      <c r="T302" s="11" t="str">
        <f>IF(OR(AND(T303="R",Trading="Yes"),AND(T303="R",Trading&lt;&gt;"Yes")),"R","G")</f>
        <v>G</v>
      </c>
    </row>
    <row r="303" spans="1:20" x14ac:dyDescent="0.25">
      <c r="B303" s="57" t="s">
        <v>1041</v>
      </c>
      <c r="C303" s="57"/>
      <c r="E303" s="54"/>
      <c r="F303" s="54"/>
      <c r="G303" s="54"/>
      <c r="H303" s="54"/>
      <c r="I303" s="54"/>
      <c r="J303" s="54"/>
      <c r="K303" s="54"/>
      <c r="L303" s="54"/>
      <c r="M303" s="185" t="s">
        <v>1022</v>
      </c>
      <c r="N303" s="185"/>
      <c r="O303" s="185"/>
      <c r="P303" s="185"/>
      <c r="R303" s="61"/>
      <c r="T303" s="11" t="str">
        <f>IF(Trading="Yes",IF(OR(AND(ISBLANK(R302),ISBLANK(R303)),AND(NOT(ISBLANK(R302)),R303="Not Available")),"R","G"),IF(Trading&lt;&gt;"Yes",IF(OR(AND(NOT(ISBLANK(R302)),NOT(ISBLANK(R303))),AND(ISBLANK(R302),R303="Not Available"),AND(NOT(ISBLANK(R302)),R303&lt;&gt;"Not Available")),"R","G")))</f>
        <v>G</v>
      </c>
    </row>
    <row r="304" spans="1:20" x14ac:dyDescent="0.25">
      <c r="B304" s="10"/>
      <c r="C304" s="10"/>
      <c r="D304" s="10"/>
      <c r="E304" s="10"/>
      <c r="F304" s="10"/>
      <c r="G304" s="10"/>
      <c r="H304" s="10"/>
      <c r="I304" s="10"/>
      <c r="J304" s="10"/>
      <c r="K304" s="10"/>
      <c r="L304" s="10"/>
      <c r="M304" s="10"/>
      <c r="N304" s="10"/>
      <c r="O304" s="10"/>
      <c r="P304" s="10"/>
      <c r="R304" s="10"/>
    </row>
    <row r="305" spans="1:20" ht="7.35" customHeight="1" x14ac:dyDescent="0.25">
      <c r="B305" s="71"/>
      <c r="C305" s="71"/>
      <c r="D305" s="15"/>
      <c r="E305" s="15"/>
      <c r="F305" s="15"/>
      <c r="G305" s="15"/>
      <c r="H305" s="15"/>
      <c r="I305" s="15"/>
      <c r="J305" s="15"/>
      <c r="K305" s="15"/>
      <c r="L305" s="15"/>
      <c r="M305" s="72"/>
      <c r="N305" s="72"/>
      <c r="O305" s="72"/>
      <c r="P305" s="72"/>
      <c r="Q305" s="73"/>
      <c r="R305" s="74"/>
    </row>
    <row r="306" spans="1:20" ht="7.15" customHeight="1" x14ac:dyDescent="0.25">
      <c r="A306" s="75"/>
      <c r="B306" s="76"/>
      <c r="C306" s="76"/>
      <c r="D306" s="77"/>
      <c r="E306" s="77"/>
      <c r="F306" s="77"/>
      <c r="G306" s="77"/>
      <c r="H306" s="77"/>
      <c r="I306" s="77"/>
      <c r="J306" s="77"/>
      <c r="K306" s="77"/>
      <c r="L306" s="77"/>
      <c r="M306" s="77"/>
      <c r="N306" s="77"/>
      <c r="O306" s="77"/>
      <c r="P306" s="77"/>
      <c r="Q306" s="75"/>
      <c r="R306" s="78"/>
      <c r="S306" s="75"/>
      <c r="T306" s="12"/>
    </row>
    <row r="307" spans="1:20" ht="7.35" customHeight="1" x14ac:dyDescent="0.25">
      <c r="B307" s="71"/>
      <c r="C307" s="71"/>
      <c r="D307" s="15"/>
      <c r="E307" s="15"/>
      <c r="F307" s="15"/>
      <c r="G307" s="15"/>
      <c r="H307" s="15"/>
      <c r="I307" s="15"/>
      <c r="J307" s="15"/>
      <c r="K307" s="15"/>
      <c r="L307" s="15"/>
      <c r="M307" s="15"/>
      <c r="N307" s="15"/>
      <c r="O307" s="15"/>
      <c r="P307" s="15"/>
      <c r="R307" s="74"/>
    </row>
    <row r="308" spans="1:20" ht="19.5" thickBot="1" x14ac:dyDescent="0.3">
      <c r="A308" s="37"/>
      <c r="B308" s="38" t="s">
        <v>1130</v>
      </c>
      <c r="C308" s="38"/>
      <c r="D308" s="39" t="s">
        <v>1131</v>
      </c>
      <c r="E308" s="40"/>
      <c r="F308" s="40"/>
      <c r="G308" s="40"/>
      <c r="H308" s="40"/>
      <c r="I308" s="40"/>
      <c r="J308" s="40"/>
      <c r="K308" s="40"/>
      <c r="L308" s="40"/>
      <c r="M308" s="40"/>
      <c r="N308" s="40"/>
      <c r="O308" s="40"/>
      <c r="P308" s="41"/>
      <c r="Q308" s="37"/>
      <c r="R308" s="42"/>
      <c r="S308" s="37"/>
    </row>
    <row r="309" spans="1:20" x14ac:dyDescent="0.25">
      <c r="E309" s="54"/>
      <c r="F309" s="54"/>
      <c r="G309" s="54"/>
      <c r="H309" s="54"/>
      <c r="I309" s="54"/>
      <c r="J309" s="54"/>
      <c r="K309" s="54"/>
      <c r="L309" s="54"/>
      <c r="M309" s="54"/>
      <c r="N309" s="54"/>
      <c r="O309" s="54"/>
    </row>
    <row r="310" spans="1:20" ht="32.25" customHeight="1" x14ac:dyDescent="0.25">
      <c r="B310" s="15" t="s">
        <v>670</v>
      </c>
      <c r="D310" s="184" t="s">
        <v>848</v>
      </c>
      <c r="E310" s="184"/>
      <c r="F310" s="184"/>
      <c r="G310" s="184"/>
      <c r="H310" s="184"/>
      <c r="I310" s="184"/>
      <c r="J310" s="184"/>
      <c r="K310" s="184"/>
      <c r="L310" s="184"/>
      <c r="M310" s="184"/>
      <c r="N310" s="184"/>
      <c r="O310" s="184"/>
      <c r="R310" s="18"/>
      <c r="S310" s="52"/>
      <c r="T310" s="11" t="str">
        <f>IF(OR(AND(Capital&lt;&gt;"Yes",OR(R310&lt;0%,R310&gt;100%,NOT(ISBLANK(R310)))),AND(Capital="Yes",OR(R310&lt;0%,R310&gt;100%,ISBLANK(R310)))),"R","G")</f>
        <v>G</v>
      </c>
    </row>
    <row r="311" spans="1:20" x14ac:dyDescent="0.25"/>
    <row r="312" spans="1:20" ht="6.6" customHeight="1" x14ac:dyDescent="0.25">
      <c r="A312" s="13"/>
      <c r="B312" s="58"/>
      <c r="C312" s="58"/>
      <c r="D312" s="13"/>
      <c r="E312" s="13"/>
      <c r="F312" s="13"/>
      <c r="G312" s="13"/>
      <c r="H312" s="13"/>
      <c r="I312" s="13"/>
      <c r="J312" s="13"/>
      <c r="K312" s="13"/>
      <c r="L312" s="13"/>
      <c r="M312" s="13"/>
      <c r="N312" s="13"/>
      <c r="O312" s="13"/>
      <c r="P312" s="13"/>
      <c r="Q312" s="13"/>
      <c r="R312" s="59"/>
      <c r="S312" s="13"/>
      <c r="T312" s="13"/>
    </row>
  </sheetData>
  <sheetProtection algorithmName="SHA-512" hashValue="G9hmMBA9N0me+CKgdQntR/DchTwetR/TclLJ1EX7GyRgh3XGZQ6ufxu/htFWcjXK7EGzPIJhFeREJM2Jlm19xg==" saltValue="N+j54cqrmsmMTkhBe8unsQ==" spinCount="100000" sheet="1" objects="1" scenarios="1"/>
  <mergeCells count="144">
    <mergeCell ref="E240:O240"/>
    <mergeCell ref="D155:O155"/>
    <mergeCell ref="D153:O153"/>
    <mergeCell ref="D151:O151"/>
    <mergeCell ref="D149:O149"/>
    <mergeCell ref="D147:O147"/>
    <mergeCell ref="M247:P247"/>
    <mergeCell ref="D310:O310"/>
    <mergeCell ref="D262:O262"/>
    <mergeCell ref="M263:P263"/>
    <mergeCell ref="M280:P280"/>
    <mergeCell ref="M288:P288"/>
    <mergeCell ref="M291:P291"/>
    <mergeCell ref="M300:P300"/>
    <mergeCell ref="M303:P303"/>
    <mergeCell ref="D270:O270"/>
    <mergeCell ref="D272:O272"/>
    <mergeCell ref="D279:O279"/>
    <mergeCell ref="D302:O302"/>
    <mergeCell ref="D299:O299"/>
    <mergeCell ref="D290:O290"/>
    <mergeCell ref="D287:O287"/>
    <mergeCell ref="M195:P195"/>
    <mergeCell ref="M198:P198"/>
    <mergeCell ref="D121:O121"/>
    <mergeCell ref="D119:O119"/>
    <mergeCell ref="D117:O117"/>
    <mergeCell ref="D115:O115"/>
    <mergeCell ref="D113:O113"/>
    <mergeCell ref="D111:O111"/>
    <mergeCell ref="D109:O109"/>
    <mergeCell ref="D139:O139"/>
    <mergeCell ref="D137:O137"/>
    <mergeCell ref="D135:O135"/>
    <mergeCell ref="D133:O133"/>
    <mergeCell ref="D131:O131"/>
    <mergeCell ref="D129:O129"/>
    <mergeCell ref="D127:O127"/>
    <mergeCell ref="D125:O125"/>
    <mergeCell ref="D123:O123"/>
    <mergeCell ref="D84:O84"/>
    <mergeCell ref="D82:O82"/>
    <mergeCell ref="D75:O75"/>
    <mergeCell ref="D73:O73"/>
    <mergeCell ref="D71:O71"/>
    <mergeCell ref="D107:O107"/>
    <mergeCell ref="M100:P100"/>
    <mergeCell ref="M103:P103"/>
    <mergeCell ref="D105:O105"/>
    <mergeCell ref="D102:O102"/>
    <mergeCell ref="E2:R2"/>
    <mergeCell ref="E14:O14"/>
    <mergeCell ref="E15:O15"/>
    <mergeCell ref="E21:O21"/>
    <mergeCell ref="E22:O22"/>
    <mergeCell ref="E23:O23"/>
    <mergeCell ref="E16:O16"/>
    <mergeCell ref="E17:O17"/>
    <mergeCell ref="E18:O18"/>
    <mergeCell ref="E19:O19"/>
    <mergeCell ref="E20:O20"/>
    <mergeCell ref="D13:O13"/>
    <mergeCell ref="D25:O25"/>
    <mergeCell ref="D55:O55"/>
    <mergeCell ref="D52:O52"/>
    <mergeCell ref="D49:O49"/>
    <mergeCell ref="D47:O47"/>
    <mergeCell ref="D99:O99"/>
    <mergeCell ref="D97:O97"/>
    <mergeCell ref="D95:O95"/>
    <mergeCell ref="D93:O93"/>
    <mergeCell ref="M91:P91"/>
    <mergeCell ref="D27:O27"/>
    <mergeCell ref="M50:P50"/>
    <mergeCell ref="M53:P53"/>
    <mergeCell ref="D45:O45"/>
    <mergeCell ref="D43:O43"/>
    <mergeCell ref="D41:O41"/>
    <mergeCell ref="D39:O39"/>
    <mergeCell ref="D37:O37"/>
    <mergeCell ref="D35:O35"/>
    <mergeCell ref="D33:O33"/>
    <mergeCell ref="D31:O31"/>
    <mergeCell ref="D29:O29"/>
    <mergeCell ref="M69:P69"/>
    <mergeCell ref="D62:O62"/>
    <mergeCell ref="D183:O183"/>
    <mergeCell ref="D181:O181"/>
    <mergeCell ref="D179:O179"/>
    <mergeCell ref="D177:O177"/>
    <mergeCell ref="D175:O175"/>
    <mergeCell ref="D172:O172"/>
    <mergeCell ref="D145:O145"/>
    <mergeCell ref="D143:O143"/>
    <mergeCell ref="D141:O141"/>
    <mergeCell ref="M173:P173"/>
    <mergeCell ref="M201:P201"/>
    <mergeCell ref="M208:P208"/>
    <mergeCell ref="M217:P217"/>
    <mergeCell ref="M220:P220"/>
    <mergeCell ref="D159:O159"/>
    <mergeCell ref="D157:O157"/>
    <mergeCell ref="D161:O161"/>
    <mergeCell ref="D169:O169"/>
    <mergeCell ref="D167:O167"/>
    <mergeCell ref="D200:O200"/>
    <mergeCell ref="D197:O197"/>
    <mergeCell ref="M170:P170"/>
    <mergeCell ref="D194:O194"/>
    <mergeCell ref="D216:O216"/>
    <mergeCell ref="D214:O214"/>
    <mergeCell ref="D212:O212"/>
    <mergeCell ref="D210:O210"/>
    <mergeCell ref="D207:O207"/>
    <mergeCell ref="D205:O205"/>
    <mergeCell ref="D203:O203"/>
    <mergeCell ref="D165:O165"/>
    <mergeCell ref="D163:O163"/>
    <mergeCell ref="D187:O187"/>
    <mergeCell ref="D185:O185"/>
    <mergeCell ref="B296:B297"/>
    <mergeCell ref="D222:O222"/>
    <mergeCell ref="D219:O219"/>
    <mergeCell ref="D232:O232"/>
    <mergeCell ref="D230:O230"/>
    <mergeCell ref="D239:O239"/>
    <mergeCell ref="D249:O249"/>
    <mergeCell ref="D259:O259"/>
    <mergeCell ref="M223:P223"/>
    <mergeCell ref="M260:P260"/>
    <mergeCell ref="E246:O246"/>
    <mergeCell ref="E250:O250"/>
    <mergeCell ref="E252:O252"/>
    <mergeCell ref="E254:O254"/>
    <mergeCell ref="E256:O256"/>
    <mergeCell ref="M251:P251"/>
    <mergeCell ref="M253:P253"/>
    <mergeCell ref="M255:P255"/>
    <mergeCell ref="M257:P257"/>
    <mergeCell ref="M241:P241"/>
    <mergeCell ref="M243:P243"/>
    <mergeCell ref="M245:P245"/>
    <mergeCell ref="E242:O242"/>
    <mergeCell ref="E244:O244"/>
  </mergeCells>
  <phoneticPr fontId="27" type="noConversion"/>
  <conditionalFormatting sqref="B27:R27">
    <cfRule type="expression" dxfId="268" priority="816">
      <formula>$R$25&lt;&gt;"Yes"</formula>
    </cfRule>
  </conditionalFormatting>
  <conditionalFormatting sqref="B31:R31">
    <cfRule type="expression" dxfId="267" priority="27">
      <formula>$R$29&lt;&gt;"Yes"</formula>
    </cfRule>
  </conditionalFormatting>
  <conditionalFormatting sqref="B33:R33">
    <cfRule type="expression" dxfId="266" priority="28">
      <formula>$R$29&lt;&gt;"Yes"</formula>
    </cfRule>
  </conditionalFormatting>
  <conditionalFormatting sqref="B35:R35">
    <cfRule type="expression" dxfId="265" priority="29">
      <formula>$R$29&lt;&gt;"Yes"</formula>
    </cfRule>
  </conditionalFormatting>
  <conditionalFormatting sqref="B37:R37">
    <cfRule type="expression" dxfId="264" priority="809">
      <formula>$R$29&lt;&gt;"Yes"</formula>
    </cfRule>
  </conditionalFormatting>
  <conditionalFormatting sqref="B41:R41">
    <cfRule type="expression" dxfId="263" priority="787">
      <formula>$R$39&lt;&gt;"Yes"</formula>
    </cfRule>
  </conditionalFormatting>
  <conditionalFormatting sqref="B47:R47">
    <cfRule type="expression" dxfId="262" priority="25">
      <formula>$R$45&lt;&gt;"Yes"</formula>
    </cfRule>
  </conditionalFormatting>
  <conditionalFormatting sqref="B49:R50">
    <cfRule type="expression" dxfId="261" priority="26">
      <formula>$R$45&lt;&gt;"Yes"</formula>
    </cfRule>
  </conditionalFormatting>
  <conditionalFormatting sqref="B52:R53">
    <cfRule type="expression" dxfId="260" priority="776">
      <formula>$R$45&lt;&gt;"Yes"</formula>
    </cfRule>
  </conditionalFormatting>
  <conditionalFormatting sqref="B62:R69">
    <cfRule type="expression" dxfId="259" priority="213">
      <formula>FinancialLeasing&lt;&gt;"Yes"</formula>
    </cfRule>
  </conditionalFormatting>
  <conditionalFormatting sqref="B69:R69">
    <cfRule type="expression" dxfId="258" priority="707">
      <formula>$R$68&lt;&gt;"Yes"</formula>
    </cfRule>
  </conditionalFormatting>
  <conditionalFormatting sqref="B71:R71">
    <cfRule type="expression" dxfId="257" priority="24">
      <formula>AND($R$63&lt;&gt;"Yes",$R$64&lt;&gt;"Yes",$R$65&lt;&gt;"Yes",$R$66&lt;&gt;"Yes",$R$68&lt;&gt;"Yes",$R$69&lt;&gt;"Yes",$R$67&lt;&gt;"Yes")</formula>
    </cfRule>
  </conditionalFormatting>
  <conditionalFormatting sqref="B73:R73">
    <cfRule type="expression" dxfId="256" priority="23">
      <formula>AND($R$63&lt;&gt;"Yes",$R$64&lt;&gt;"Yes",$R$65&lt;&gt;"Yes",$R$66&lt;&gt;"Yes",$R$68&lt;&gt;"Yes",$R$69&lt;&gt;"Yes",$R$67&lt;&gt;"Yes")</formula>
    </cfRule>
  </conditionalFormatting>
  <conditionalFormatting sqref="B75:R75">
    <cfRule type="expression" dxfId="255" priority="705">
      <formula>AND($R$63&lt;&gt;"Yes",$R$64&lt;&gt;"Yes",$R$65&lt;&gt;"Yes",$R$66&lt;&gt;"Yes",$R$68&lt;&gt;"Yes",$R$69&lt;&gt;"Yes",$R$67&lt;&gt;"Yes")</formula>
    </cfRule>
  </conditionalFormatting>
  <conditionalFormatting sqref="B82:R82">
    <cfRule type="expression" dxfId="254" priority="14">
      <formula>Payment&lt;&gt;"Yes"</formula>
    </cfRule>
  </conditionalFormatting>
  <conditionalFormatting sqref="B84:R91">
    <cfRule type="expression" dxfId="253" priority="13">
      <formula>$R$82&lt;&gt;"Yes"</formula>
    </cfRule>
  </conditionalFormatting>
  <conditionalFormatting sqref="B91:R91">
    <cfRule type="expression" dxfId="252" priority="212">
      <formula>$R$90&lt;&gt;"Yes"</formula>
    </cfRule>
  </conditionalFormatting>
  <conditionalFormatting sqref="B93:R93">
    <cfRule type="expression" dxfId="251" priority="21">
      <formula>$R$82&lt;&gt;"Yes"</formula>
    </cfRule>
  </conditionalFormatting>
  <conditionalFormatting sqref="B95:R95">
    <cfRule type="expression" dxfId="250" priority="22">
      <formula>$R$82&lt;&gt;"Yes"</formula>
    </cfRule>
  </conditionalFormatting>
  <conditionalFormatting sqref="B97:R97">
    <cfRule type="expression" dxfId="249" priority="672">
      <formula>$R$82&lt;&gt;"Yes"</formula>
    </cfRule>
  </conditionalFormatting>
  <conditionalFormatting sqref="B99:R100">
    <cfRule type="expression" dxfId="248" priority="3">
      <formula>Payment&lt;&gt;"Yes"</formula>
    </cfRule>
  </conditionalFormatting>
  <conditionalFormatting sqref="B100:R100">
    <cfRule type="expression" dxfId="247" priority="630">
      <formula>$R$99&lt;&gt;"Yes"</formula>
    </cfRule>
  </conditionalFormatting>
  <conditionalFormatting sqref="B102:R103">
    <cfRule type="expression" dxfId="246" priority="4">
      <formula>Payment&lt;&gt;"Yes"</formula>
    </cfRule>
  </conditionalFormatting>
  <conditionalFormatting sqref="B103:R103">
    <cfRule type="expression" dxfId="245" priority="632">
      <formula>$R$102&lt;&gt;"Yes"</formula>
    </cfRule>
  </conditionalFormatting>
  <conditionalFormatting sqref="B105:R105">
    <cfRule type="expression" dxfId="244" priority="621">
      <formula>AND($R$99&lt;&gt;"Yes",$R$99&lt;&gt;"No")</formula>
    </cfRule>
  </conditionalFormatting>
  <conditionalFormatting sqref="B107:R107">
    <cfRule type="expression" dxfId="243" priority="203">
      <formula>AND($R$99&lt;&gt;"Yes",$R$99&lt;&gt;"No")</formula>
    </cfRule>
  </conditionalFormatting>
  <conditionalFormatting sqref="B109:R109">
    <cfRule type="expression" dxfId="242" priority="202">
      <formula>AND($R$99&lt;&gt;"Yes",$R$99&lt;&gt;"No")</formula>
    </cfRule>
  </conditionalFormatting>
  <conditionalFormatting sqref="B111:R111">
    <cfRule type="expression" dxfId="241" priority="201">
      <formula>AND($R$99&lt;&gt;"Yes",$R$99&lt;&gt;"No")</formula>
    </cfRule>
  </conditionalFormatting>
  <conditionalFormatting sqref="B113:R113">
    <cfRule type="expression" dxfId="240" priority="200">
      <formula>AND($R$99&lt;&gt;"Yes",$R$99&lt;&gt;"No")</formula>
    </cfRule>
  </conditionalFormatting>
  <conditionalFormatting sqref="B115:R115">
    <cfRule type="expression" dxfId="239" priority="16">
      <formula>Payment&lt;&gt;"Yes"</formula>
    </cfRule>
  </conditionalFormatting>
  <conditionalFormatting sqref="B117:R117">
    <cfRule type="expression" dxfId="238" priority="18">
      <formula>$R$115&lt;&gt;"Yes"</formula>
    </cfRule>
  </conditionalFormatting>
  <conditionalFormatting sqref="B119:R119">
    <cfRule type="expression" dxfId="237" priority="19">
      <formula>$R$115&lt;&gt;"Yes"</formula>
    </cfRule>
  </conditionalFormatting>
  <conditionalFormatting sqref="B121:R121">
    <cfRule type="expression" dxfId="236" priority="17">
      <formula>$R$115&lt;&gt;"Yes"</formula>
    </cfRule>
  </conditionalFormatting>
  <conditionalFormatting sqref="B123:R123">
    <cfRule type="expression" dxfId="235" priority="589">
      <formula>$R$121&lt;&gt;"Yes"</formula>
    </cfRule>
  </conditionalFormatting>
  <conditionalFormatting sqref="B125:R125">
    <cfRule type="expression" dxfId="234" priority="592">
      <formula>$R$115&lt;&gt;"Yes"</formula>
    </cfRule>
  </conditionalFormatting>
  <conditionalFormatting sqref="B127:R127">
    <cfRule type="expression" dxfId="233" priority="588">
      <formula>$R$125&lt;&gt;"Yes"</formula>
    </cfRule>
  </conditionalFormatting>
  <conditionalFormatting sqref="B129:R129">
    <cfRule type="expression" dxfId="232" priority="591">
      <formula>$R$115&lt;&gt;"Yes"</formula>
    </cfRule>
  </conditionalFormatting>
  <conditionalFormatting sqref="B131:R131">
    <cfRule type="expression" dxfId="231" priority="587">
      <formula>$R$129&lt;&gt;"Yes"</formula>
    </cfRule>
  </conditionalFormatting>
  <conditionalFormatting sqref="B133:R133">
    <cfRule type="expression" dxfId="230" priority="590">
      <formula>$R$115&lt;&gt;"Yes"</formula>
    </cfRule>
  </conditionalFormatting>
  <conditionalFormatting sqref="B135:R135">
    <cfRule type="expression" dxfId="229" priority="586">
      <formula>$R$133&lt;&gt;"Yes"</formula>
    </cfRule>
  </conditionalFormatting>
  <conditionalFormatting sqref="B137:R137">
    <cfRule type="expression" dxfId="228" priority="562">
      <formula>$R$115&lt;&gt;"Yes"</formula>
    </cfRule>
  </conditionalFormatting>
  <conditionalFormatting sqref="B139:R139">
    <cfRule type="expression" dxfId="227" priority="197">
      <formula>$R$115&lt;&gt;"Yes"</formula>
    </cfRule>
  </conditionalFormatting>
  <conditionalFormatting sqref="B141:R141">
    <cfRule type="expression" dxfId="226" priority="613">
      <formula>$R$115&lt;&gt;"Yes"</formula>
    </cfRule>
  </conditionalFormatting>
  <conditionalFormatting sqref="B143:R143">
    <cfRule type="expression" dxfId="225" priority="196">
      <formula>$R$115&lt;&gt;"Yes"</formula>
    </cfRule>
  </conditionalFormatting>
  <conditionalFormatting sqref="B145:R145">
    <cfRule type="expression" dxfId="224" priority="15">
      <formula>Payment&lt;&gt;"Yes"</formula>
    </cfRule>
  </conditionalFormatting>
  <conditionalFormatting sqref="B147:R147">
    <cfRule type="expression" dxfId="223" priority="195">
      <formula>$R$145&lt;=0</formula>
    </cfRule>
  </conditionalFormatting>
  <conditionalFormatting sqref="B149:R149">
    <cfRule type="expression" dxfId="222" priority="530">
      <formula>$R$145&lt;=0</formula>
    </cfRule>
  </conditionalFormatting>
  <conditionalFormatting sqref="B151:R151">
    <cfRule type="expression" dxfId="221" priority="525">
      <formula>$R$145&lt;=0</formula>
    </cfRule>
  </conditionalFormatting>
  <conditionalFormatting sqref="B153:R153">
    <cfRule type="expression" dxfId="220" priority="520">
      <formula>$R$145&lt;=0</formula>
    </cfRule>
  </conditionalFormatting>
  <conditionalFormatting sqref="B155:R155">
    <cfRule type="expression" dxfId="219" priority="516">
      <formula>$R$145&lt;=0</formula>
    </cfRule>
  </conditionalFormatting>
  <conditionalFormatting sqref="B157:R157">
    <cfRule type="expression" dxfId="218" priority="512">
      <formula>$R$153&lt;&gt;"Yes"</formula>
    </cfRule>
  </conditionalFormatting>
  <conditionalFormatting sqref="B159:R159">
    <cfRule type="expression" dxfId="217" priority="508">
      <formula>Payment&lt;&gt;"Yes"</formula>
    </cfRule>
  </conditionalFormatting>
  <conditionalFormatting sqref="B161:R161">
    <cfRule type="expression" dxfId="216" priority="507">
      <formula>$R$159&lt;&gt;"Yes"</formula>
    </cfRule>
  </conditionalFormatting>
  <conditionalFormatting sqref="B163:R163">
    <cfRule type="expression" dxfId="215" priority="494">
      <formula>Payment&lt;&gt;"Yes"</formula>
    </cfRule>
  </conditionalFormatting>
  <conditionalFormatting sqref="B165:R165">
    <cfRule type="expression" dxfId="214" priority="490">
      <formula>$R$163&lt;&gt;"Yes"</formula>
    </cfRule>
  </conditionalFormatting>
  <conditionalFormatting sqref="B167:R167">
    <cfRule type="expression" dxfId="213" priority="485">
      <formula>$R$163&lt;&gt;"Yes"</formula>
    </cfRule>
  </conditionalFormatting>
  <conditionalFormatting sqref="B169:R170">
    <cfRule type="expression" dxfId="212" priority="481">
      <formula>Payment&lt;&gt;"Yes"</formula>
    </cfRule>
  </conditionalFormatting>
  <conditionalFormatting sqref="B172:R173">
    <cfRule type="expression" dxfId="211" priority="1">
      <formula>$R$169&lt;=0</formula>
    </cfRule>
  </conditionalFormatting>
  <conditionalFormatting sqref="B173:R173">
    <cfRule type="expression" dxfId="210" priority="2">
      <formula>Payment&lt;&gt;"Yes"</formula>
    </cfRule>
  </conditionalFormatting>
  <conditionalFormatting sqref="B175:R175">
    <cfRule type="expression" dxfId="209" priority="467">
      <formula>Payment&lt;&gt;"Yes"</formula>
    </cfRule>
  </conditionalFormatting>
  <conditionalFormatting sqref="B177:R177">
    <cfRule type="expression" dxfId="208" priority="463">
      <formula>$R$175&lt;&gt;"Yes"</formula>
    </cfRule>
  </conditionalFormatting>
  <conditionalFormatting sqref="B179:R179">
    <cfRule type="expression" dxfId="207" priority="459">
      <formula>$R$177&lt;&gt;"Yes"</formula>
    </cfRule>
  </conditionalFormatting>
  <conditionalFormatting sqref="B181:R181">
    <cfRule type="expression" dxfId="206" priority="428">
      <formula>Payment&lt;&gt;"Yes"</formula>
    </cfRule>
  </conditionalFormatting>
  <conditionalFormatting sqref="B183:R183">
    <cfRule type="expression" dxfId="205" priority="424">
      <formula>Payment&lt;&gt;"Yes"</formula>
    </cfRule>
  </conditionalFormatting>
  <conditionalFormatting sqref="B185:R185">
    <cfRule type="expression" dxfId="204" priority="412">
      <formula>$R$183&lt;=0</formula>
    </cfRule>
  </conditionalFormatting>
  <conditionalFormatting sqref="B187:R187">
    <cfRule type="expression" dxfId="203" priority="192">
      <formula>$R$183&lt;=0</formula>
    </cfRule>
  </conditionalFormatting>
  <conditionalFormatting sqref="B194:R195">
    <cfRule type="expression" dxfId="202" priority="402">
      <formula>Emoney&lt;&gt;"Yes"</formula>
    </cfRule>
  </conditionalFormatting>
  <conditionalFormatting sqref="B197:R198">
    <cfRule type="expression" dxfId="201" priority="381">
      <formula>$R$194&lt;=0</formula>
    </cfRule>
  </conditionalFormatting>
  <conditionalFormatting sqref="B200:R201">
    <cfRule type="expression" dxfId="200" priority="191">
      <formula>$R$194&lt;=0</formula>
    </cfRule>
  </conditionalFormatting>
  <conditionalFormatting sqref="B203:R203">
    <cfRule type="expression" dxfId="199" priority="371">
      <formula>Emoney&lt;&gt;"Yes"</formula>
    </cfRule>
  </conditionalFormatting>
  <conditionalFormatting sqref="B205:R205">
    <cfRule type="expression" dxfId="198" priority="370">
      <formula>Emoney&lt;&gt;"Yes"</formula>
    </cfRule>
  </conditionalFormatting>
  <conditionalFormatting sqref="B207:R208">
    <cfRule type="expression" dxfId="197" priority="359">
      <formula>$R$205&lt;&gt;"Yes"</formula>
    </cfRule>
  </conditionalFormatting>
  <conditionalFormatting sqref="B210:R210">
    <cfRule type="expression" dxfId="196" priority="355">
      <formula>Emoney&lt;&gt;"Yes"</formula>
    </cfRule>
  </conditionalFormatting>
  <conditionalFormatting sqref="B212:R212">
    <cfRule type="expression" dxfId="195" priority="351">
      <formula>$R$210&lt;&gt;"Yes"</formula>
    </cfRule>
  </conditionalFormatting>
  <conditionalFormatting sqref="B214:R214">
    <cfRule type="expression" dxfId="194" priority="190">
      <formula>$R$210&lt;&gt;"Yes"</formula>
    </cfRule>
  </conditionalFormatting>
  <conditionalFormatting sqref="B216:R217">
    <cfRule type="expression" dxfId="193" priority="343">
      <formula>$R$214&lt;&gt;"Yes"</formula>
    </cfRule>
  </conditionalFormatting>
  <conditionalFormatting sqref="B219:R220">
    <cfRule type="expression" dxfId="192" priority="288">
      <formula>Emoney&lt;&gt;"Yes"</formula>
    </cfRule>
  </conditionalFormatting>
  <conditionalFormatting sqref="B222:R223">
    <cfRule type="expression" dxfId="191" priority="287">
      <formula>Emoney&lt;&gt;"Yes"</formula>
    </cfRule>
  </conditionalFormatting>
  <conditionalFormatting sqref="B230:R230">
    <cfRule type="expression" dxfId="190" priority="279">
      <formula>Guarantees&lt;&gt;"Yes"</formula>
    </cfRule>
  </conditionalFormatting>
  <conditionalFormatting sqref="B232:R232">
    <cfRule type="expression" dxfId="189" priority="278">
      <formula>$R$230&lt;&gt;"Yes"</formula>
    </cfRule>
  </conditionalFormatting>
  <conditionalFormatting sqref="B239:R247">
    <cfRule type="expression" dxfId="188" priority="65">
      <formula>Lending&lt;&gt;"Yes"</formula>
    </cfRule>
  </conditionalFormatting>
  <conditionalFormatting sqref="B249:R257">
    <cfRule type="expression" dxfId="187" priority="70">
      <formula>Lending&lt;&gt;"Yes"</formula>
    </cfRule>
  </conditionalFormatting>
  <conditionalFormatting sqref="B259:R260">
    <cfRule type="expression" dxfId="186" priority="158">
      <formula>Lending&lt;&gt;"Yes"</formula>
    </cfRule>
  </conditionalFormatting>
  <conditionalFormatting sqref="B262:R263">
    <cfRule type="expression" dxfId="185" priority="150">
      <formula>Lending&lt;&gt;"Yes"</formula>
    </cfRule>
  </conditionalFormatting>
  <conditionalFormatting sqref="B270:R270">
    <cfRule type="expression" dxfId="184" priority="128">
      <formula>Broking&lt;&gt;"Yes"</formula>
    </cfRule>
  </conditionalFormatting>
  <conditionalFormatting sqref="B272:R272">
    <cfRule type="expression" dxfId="183" priority="127">
      <formula>$R$270&lt;=0</formula>
    </cfRule>
  </conditionalFormatting>
  <conditionalFormatting sqref="B279:R280">
    <cfRule type="expression" dxfId="182" priority="123">
      <formula>Other&lt;&gt;"Yes"</formula>
    </cfRule>
  </conditionalFormatting>
  <conditionalFormatting sqref="B280:R280">
    <cfRule type="expression" dxfId="181" priority="110">
      <formula>$R$279&lt;&gt;"Yes"</formula>
    </cfRule>
  </conditionalFormatting>
  <conditionalFormatting sqref="B287:R288">
    <cfRule type="expression" dxfId="180" priority="102">
      <formula>Underwriting&lt;&gt;"Yes"</formula>
    </cfRule>
  </conditionalFormatting>
  <conditionalFormatting sqref="B290:R291">
    <cfRule type="expression" dxfId="179" priority="94">
      <formula>Underwriting&lt;&gt;"Yes"</formula>
    </cfRule>
  </conditionalFormatting>
  <conditionalFormatting sqref="B299:R300">
    <cfRule type="expression" dxfId="178" priority="87">
      <formula>Trading&lt;&gt;"Yes"</formula>
    </cfRule>
  </conditionalFormatting>
  <conditionalFormatting sqref="B302:R303">
    <cfRule type="expression" dxfId="177" priority="82">
      <formula>Trading&lt;&gt;"Yes"</formula>
    </cfRule>
  </conditionalFormatting>
  <conditionalFormatting sqref="B310:R310">
    <cfRule type="expression" dxfId="176" priority="71">
      <formula>Capital&lt;&gt;"Yes"</formula>
    </cfRule>
  </conditionalFormatting>
  <conditionalFormatting sqref="T1:T1048576">
    <cfRule type="cellIs" dxfId="175" priority="7" operator="equal">
      <formula>"G"</formula>
    </cfRule>
    <cfRule type="cellIs" dxfId="174" priority="6" operator="equal">
      <formula>"R"</formula>
    </cfRule>
    <cfRule type="cellIs" dxfId="173" priority="5" operator="equal">
      <formula>"Y"</formula>
    </cfRule>
  </conditionalFormatting>
  <dataValidations xWindow="979" yWindow="570" count="9">
    <dataValidation type="whole" operator="greaterThanOrEqual" allowBlank="1" showInputMessage="1" showErrorMessage="1" error="Kindly input a whole number _x000a_greater than or equal to 0" prompt="Kindly input a whole number greater than or equal to 0" sqref="R183 R37 R43 R55 R93 R137 R139 R145 R181" xr:uid="{0E7765CD-9EDC-4115-9C7C-02EF34914E6C}">
      <formula1>0</formula1>
    </dataValidation>
    <dataValidation type="decimal" operator="greaterThanOrEqual" allowBlank="1" showInputMessage="1" showErrorMessage="1" error="Kindly input a numerical value greater than or equal to 0" sqref="R71 R73 R95 R97 R105 R107 R109 R111 R113 R117 R119 R123 R127 R131 R135 R141 R143 R149 R232 R157 R165 R185 R187 R172" xr:uid="{AEE91491-7938-4E13-9CCE-D8E7982847D7}">
      <formula1>0</formula1>
    </dataValidation>
    <dataValidation type="decimal" allowBlank="1" showInputMessage="1" showErrorMessage="1" error="Kindly input a percentage value between 0% and 100%" sqref="R147 R270 R310" xr:uid="{75973F5B-D532-43DB-A6D9-44E999DD321C}">
      <formula1>0</formula1>
      <formula2>1</formula2>
    </dataValidation>
    <dataValidation type="decimal" operator="greaterThanOrEqual" allowBlank="1" showInputMessage="1" showErrorMessage="1" error="Kindly input a numerical value greater than or equal to 0" prompt="Please include an answer in this cell or choose &quot;Not Available&quot; in the cell below. Field should remain blank if one is opting for &quot;Not Available&quot;." sqref="R216 R219 R222 R240 R242 R244 R246 R256 R262 R287 R290 R299 R302 R49 R52 R194 R197 R200 R207 R250 R252 R254" xr:uid="{5BCF0BC7-6BBD-4964-809D-DFCE98EEFEC3}">
      <formula1>0</formula1>
    </dataValidation>
    <dataValidation type="decimal" operator="greaterThanOrEqual" allowBlank="1" showInputMessage="1" showErrorMessage="1" error="Kindly input a numerical value greater than or equal to 0" prompt="Please include an answer in this cell or choose &quot;Not Applicable&quot; in the cell below. Field should remain blank if one is opting for &quot;Not Applicable&quot;." sqref="R169" xr:uid="{18CC4F8C-2214-446F-8B87-F224F4AF4944}">
      <formula1>0</formula1>
    </dataValidation>
    <dataValidation allowBlank="1" showInputMessage="1" showErrorMessage="1" prompt="This means that the user made use of formulas in the sheet which resulted in an error message. Kindly make sure that these issues are addressed before submitting the template." sqref="R5" xr:uid="{F6D2E8F6-105D-440B-A026-3BC95F0DE14F}"/>
    <dataValidation type="whole" operator="greaterThanOrEqual" allowBlank="1" showInputMessage="1" showErrorMessage="1" error="Kindly input a whole number greater than or equal to 0" prompt="Kindly input a whole number greater than or equal to 0" sqref="R167 R151" xr:uid="{66E3959C-B220-4F20-B3EB-8BF10774C6E0}">
      <formula1>0</formula1>
    </dataValidation>
    <dataValidation type="whole" operator="greaterThanOrEqual" allowBlank="1" showInputMessage="1" showErrorMessage="1" error="Kindly input a whole number greater than or equal to 0" prompt="Please include an answer in this cell or choose &quot;Not Available&quot; in the cell below. Field should remain blank if one is opting for &quot;Not Available&quot;." sqref="R259" xr:uid="{72BAD012-87FF-4567-B6D1-DE248BFD7CBB}">
      <formula1>0</formula1>
    </dataValidation>
    <dataValidation type="whole" operator="greaterThanOrEqual" allowBlank="1" showInputMessage="1" showErrorMessage="1" error="Kindly input a numerical value greater than or equal to 0" prompt="Kindly input a whole number greater than or equal to 0" sqref="R179" xr:uid="{B826F4B0-D986-445E-ABF1-1E2A75025250}">
      <formula1>0</formula1>
    </dataValidation>
  </dataValidations>
  <pageMargins left="0.7" right="0.7" top="0.75" bottom="0.75" header="0.3" footer="0.3"/>
  <pageSetup paperSize="9" orientation="portrait" r:id="rId1"/>
  <ignoredErrors>
    <ignoredError sqref="T251 T253 T255 T241:T246" formula="1"/>
  </ignoredErrors>
  <drawing r:id="rId2"/>
  <extLst>
    <ext xmlns:x14="http://schemas.microsoft.com/office/spreadsheetml/2009/9/main" uri="{CCE6A557-97BC-4b89-ADB6-D9C93CAAB3DF}">
      <x14:dataValidations xmlns:xm="http://schemas.microsoft.com/office/excel/2006/main" xWindow="979" yWindow="570" count="10">
        <x14:dataValidation type="list" allowBlank="1" showInputMessage="1" showErrorMessage="1" xr:uid="{0E3CBBB4-1206-4D13-AA82-98C86CD8C1AA}">
          <x14:formula1>
            <xm:f>List_2!$C$2:$C$3</xm:f>
          </x14:formula1>
          <xm:sqref>R25 R39 R45 R75 R230 R82 R214 R115 R121 R125 R129 R133 R153 R155 R159 R163 R177 R279 R203 R205 R210</xm:sqref>
        </x14:dataValidation>
        <x14:dataValidation type="list" allowBlank="1" showInputMessage="1" showErrorMessage="1" xr:uid="{752B7C60-683E-46BB-B310-B255D7CC29DB}">
          <x14:formula1>
            <xm:f>List_2!$D$2:$D$4</xm:f>
          </x14:formula1>
          <xm:sqref>R29</xm:sqref>
        </x14:dataValidation>
        <x14:dataValidation type="list" allowBlank="1" showInputMessage="1" showErrorMessage="1" xr:uid="{45D13AE1-9AA2-4D4D-86B8-873628EC4B94}">
          <x14:formula1>
            <xm:f>List_2!$AP$2:$AP$100000</xm:f>
          </x14:formula1>
          <xm:sqref>R31</xm:sqref>
        </x14:dataValidation>
        <x14:dataValidation type="list" allowBlank="1" showInputMessage="1" showErrorMessage="1" xr:uid="{D5668440-35C2-4BC8-B174-DFAB6BC98106}">
          <x14:formula1>
            <xm:f>List_2!$AQ$2:$AQ$100000</xm:f>
          </x14:formula1>
          <xm:sqref>R33</xm:sqref>
        </x14:dataValidation>
        <x14:dataValidation type="list" allowBlank="1" showInputMessage="1" showErrorMessage="1" xr:uid="{8EE5B738-3F6E-4E4A-9DFC-DFF160A7AA68}">
          <x14:formula1>
            <xm:f>List_2!$AR$2:$AR$100000</xm:f>
          </x14:formula1>
          <xm:sqref>R35</xm:sqref>
        </x14:dataValidation>
        <x14:dataValidation type="list" allowBlank="1" showInputMessage="1" showErrorMessage="1" prompt="Please include &quot;Not Available&quot; in this cell or fill in the answer in the cell above. Field should remain blank if one is including an answer above." xr:uid="{1531FF98-C841-4BD8-AADA-5945F37CE16A}">
          <x14:formula1>
            <xm:f>List_2!$F$2:$F$100000</xm:f>
          </x14:formula1>
          <xm:sqref>R291 R50 R53 R195 R198 R201 R208 R217 R220 R223 R241 R243 R245 R247 R260 R257 R288 R263 R300 R251 R253 R255 R303</xm:sqref>
        </x14:dataValidation>
        <x14:dataValidation type="list" allowBlank="1" showInputMessage="1" showErrorMessage="1" xr:uid="{96C568BD-C7B2-4303-8B72-B2F2EC16EE17}">
          <x14:formula1>
            <xm:f>List_2!$AS$2:$AS$4</xm:f>
          </x14:formula1>
          <xm:sqref>R99 R102</xm:sqref>
        </x14:dataValidation>
        <x14:dataValidation type="list" allowBlank="1" showInputMessage="1" showErrorMessage="1" prompt="Please include &quot;Not Applicable&quot; in this cell or fill in the answer in the cell above. Field should remain blank if one is including an answer above." xr:uid="{1B7C5825-15B7-4E91-BB07-1DC650607861}">
          <x14:formula1>
            <xm:f>List_2!$E$2:$E$100000</xm:f>
          </x14:formula1>
          <xm:sqref>R170 R173</xm:sqref>
        </x14:dataValidation>
        <x14:dataValidation type="list" allowBlank="1" showInputMessage="1" showErrorMessage="1" xr:uid="{450CF61B-0A9E-43C8-A741-A4528C770463}">
          <x14:formula1>
            <xm:f>List_2!$AT$2:$AT$100000</xm:f>
          </x14:formula1>
          <xm:sqref>R175</xm:sqref>
        </x14:dataValidation>
        <x14:dataValidation type="list" allowBlank="1" showInputMessage="1" showErrorMessage="1" prompt="Please answer with either a “Yes” or “No”. Empty answers are not allowed." xr:uid="{6FF377E9-133B-41F4-94F0-33579C75EA62}">
          <x14:formula1>
            <xm:f>List_2!$C$2:$C$3</xm:f>
          </x14:formula1>
          <xm:sqref>R63:R68 R14:R23 R85:R90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94C76-E542-431E-9432-4F942AB0C0C8}">
  <sheetPr codeName="Sheet4">
    <tabColor rgb="FF002B96"/>
  </sheetPr>
  <dimension ref="A1:AC198"/>
  <sheetViews>
    <sheetView zoomScaleNormal="100" workbookViewId="0"/>
  </sheetViews>
  <sheetFormatPr defaultColWidth="0" defaultRowHeight="15" zeroHeight="1" x14ac:dyDescent="0.25"/>
  <cols>
    <col min="1" max="1" width="2" style="10" customWidth="1"/>
    <col min="2" max="2" width="14.28515625" style="15" customWidth="1"/>
    <col min="3" max="3" width="1" style="15" customWidth="1"/>
    <col min="4" max="4" width="4.7109375" style="34" customWidth="1"/>
    <col min="5" max="5" width="19.28515625" style="34" customWidth="1"/>
    <col min="6" max="6" width="0.5703125" style="34" customWidth="1"/>
    <col min="7" max="7" width="18.7109375" style="34" customWidth="1"/>
    <col min="8" max="8" width="1" style="34" customWidth="1"/>
    <col min="9" max="9" width="4.7109375" style="34" customWidth="1"/>
    <col min="10" max="10" width="19.42578125" style="34" customWidth="1"/>
    <col min="11" max="11" width="18.7109375" style="34" customWidth="1"/>
    <col min="12" max="12" width="1" style="34" customWidth="1"/>
    <col min="13" max="13" width="4.7109375" style="34" customWidth="1"/>
    <col min="14" max="14" width="19.28515625" style="34" customWidth="1"/>
    <col min="15" max="15" width="18.7109375" style="34" customWidth="1"/>
    <col min="16" max="16" width="9.140625" style="34" customWidth="1"/>
    <col min="17" max="17" width="0.5703125" style="10" customWidth="1"/>
    <col min="18" max="18" width="39.28515625" style="26" bestFit="1" customWidth="1"/>
    <col min="19" max="19" width="0.7109375" style="10" customWidth="1"/>
    <col min="20" max="20" width="2.7109375" style="10" customWidth="1"/>
    <col min="21" max="21" width="0.5703125" style="22" customWidth="1"/>
    <col min="22" max="29" width="0" style="10" hidden="1" customWidth="1"/>
    <col min="30" max="16384" width="9.140625" style="10" hidden="1"/>
  </cols>
  <sheetData>
    <row r="1" spans="1:20" ht="15.75" x14ac:dyDescent="0.25">
      <c r="A1" s="6"/>
      <c r="B1" s="19"/>
      <c r="C1" s="19"/>
      <c r="D1" s="20"/>
      <c r="E1" s="20"/>
      <c r="F1" s="20"/>
      <c r="G1" s="20"/>
      <c r="H1" s="20"/>
      <c r="I1" s="20"/>
      <c r="J1" s="20"/>
      <c r="K1" s="20"/>
      <c r="L1" s="20"/>
      <c r="M1" s="20"/>
      <c r="N1" s="20"/>
      <c r="O1" s="20"/>
      <c r="P1" s="20"/>
      <c r="Q1" s="7"/>
      <c r="R1" s="14"/>
      <c r="S1" s="8"/>
      <c r="T1" s="8"/>
    </row>
    <row r="2" spans="1:20" ht="18.75" x14ac:dyDescent="0.25">
      <c r="A2" s="8"/>
      <c r="B2" s="19"/>
      <c r="C2" s="19"/>
      <c r="D2" s="20"/>
      <c r="E2" s="180" t="s">
        <v>1047</v>
      </c>
      <c r="F2" s="180"/>
      <c r="G2" s="180"/>
      <c r="H2" s="180"/>
      <c r="I2" s="180"/>
      <c r="J2" s="180"/>
      <c r="K2" s="180"/>
      <c r="L2" s="180"/>
      <c r="M2" s="180"/>
      <c r="N2" s="180"/>
      <c r="O2" s="180"/>
      <c r="P2" s="180"/>
      <c r="Q2" s="180"/>
      <c r="R2" s="180"/>
      <c r="S2" s="8"/>
      <c r="T2" s="8"/>
    </row>
    <row r="3" spans="1:20" ht="15.75" x14ac:dyDescent="0.25">
      <c r="A3" s="8"/>
      <c r="B3" s="23"/>
      <c r="C3" s="23"/>
      <c r="D3" s="23"/>
      <c r="E3" s="20"/>
      <c r="F3" s="20"/>
      <c r="G3" s="20"/>
      <c r="H3" s="20"/>
      <c r="I3" s="20"/>
      <c r="J3" s="20"/>
      <c r="K3" s="20"/>
      <c r="L3" s="20"/>
      <c r="M3" s="20"/>
      <c r="N3" s="20"/>
      <c r="O3" s="20"/>
      <c r="P3" s="20"/>
      <c r="Q3" s="8"/>
      <c r="R3" s="24"/>
      <c r="S3" s="9" t="str">
        <f>CoverSheet!A7</f>
        <v>v:1.0</v>
      </c>
      <c r="T3" s="8"/>
    </row>
    <row r="4" spans="1:20" x14ac:dyDescent="0.25">
      <c r="D4" s="15"/>
      <c r="E4" s="15"/>
      <c r="F4" s="15"/>
      <c r="G4" s="15"/>
      <c r="H4" s="15"/>
      <c r="I4" s="15"/>
      <c r="J4" s="15"/>
      <c r="K4" s="15"/>
      <c r="L4" s="15"/>
      <c r="M4" s="15"/>
      <c r="N4" s="15"/>
      <c r="O4" s="15"/>
      <c r="P4" s="15"/>
    </row>
    <row r="5" spans="1:20" x14ac:dyDescent="0.25">
      <c r="D5" s="15"/>
      <c r="E5" s="27" t="s">
        <v>53</v>
      </c>
      <c r="F5" s="15"/>
      <c r="G5" s="28">
        <f>CoverSheet!D11</f>
        <v>0</v>
      </c>
      <c r="H5" s="15"/>
      <c r="I5" s="15"/>
      <c r="J5" s="15"/>
      <c r="K5" s="15"/>
      <c r="L5" s="15"/>
      <c r="M5" s="15"/>
      <c r="N5" s="15"/>
      <c r="O5" s="15"/>
      <c r="P5" s="15"/>
      <c r="R5" s="70" t="s">
        <v>1116</v>
      </c>
      <c r="T5" s="11" t="str">
        <f>IF(COUNTIF(T6:T198,"R")&gt;0,"R","G")</f>
        <v>R</v>
      </c>
    </row>
    <row r="6" spans="1:20" x14ac:dyDescent="0.25">
      <c r="D6" s="15"/>
      <c r="E6" s="27" t="s">
        <v>54</v>
      </c>
      <c r="F6" s="15"/>
      <c r="G6" s="15" t="str">
        <f>CoverSheet!D15</f>
        <v>01/01/2025 - 31/12/2025</v>
      </c>
      <c r="H6" s="15"/>
      <c r="I6" s="15"/>
      <c r="J6" s="28"/>
      <c r="K6" s="15"/>
      <c r="L6" s="15"/>
      <c r="M6" s="15"/>
      <c r="N6" s="15"/>
      <c r="O6" s="15"/>
      <c r="P6" s="15"/>
    </row>
    <row r="7" spans="1:20" ht="15.75" thickBot="1" x14ac:dyDescent="0.3">
      <c r="A7" s="29"/>
      <c r="B7" s="30"/>
      <c r="C7" s="30"/>
      <c r="D7" s="31"/>
      <c r="E7" s="31"/>
      <c r="F7" s="31"/>
      <c r="G7" s="31"/>
      <c r="H7" s="31"/>
      <c r="I7" s="31"/>
      <c r="J7" s="31"/>
      <c r="K7" s="31"/>
      <c r="L7" s="31"/>
      <c r="M7" s="31"/>
      <c r="N7" s="31"/>
      <c r="O7" s="31"/>
      <c r="P7" s="31"/>
      <c r="Q7" s="29"/>
      <c r="R7" s="33"/>
      <c r="S7" s="29"/>
    </row>
    <row r="8" spans="1:20" ht="15.75" thickTop="1" x14ac:dyDescent="0.25">
      <c r="B8" s="34"/>
      <c r="C8" s="34"/>
      <c r="D8" s="15"/>
      <c r="E8" s="15"/>
      <c r="F8" s="15"/>
      <c r="G8" s="15"/>
      <c r="H8" s="15"/>
      <c r="I8" s="15"/>
      <c r="J8" s="15"/>
      <c r="K8" s="15"/>
      <c r="L8" s="15"/>
      <c r="M8" s="15"/>
      <c r="N8" s="15"/>
      <c r="O8" s="15"/>
      <c r="P8" s="15"/>
      <c r="R8" s="35"/>
    </row>
    <row r="9" spans="1:20" x14ac:dyDescent="0.25">
      <c r="B9" s="46" t="s">
        <v>1049</v>
      </c>
      <c r="C9" s="46"/>
      <c r="D9" s="15"/>
      <c r="E9" s="15"/>
      <c r="F9" s="15"/>
      <c r="G9" s="15"/>
      <c r="H9" s="15"/>
      <c r="I9" s="15"/>
      <c r="J9" s="15"/>
      <c r="K9" s="15"/>
      <c r="L9" s="15"/>
      <c r="M9" s="15"/>
      <c r="N9" s="15"/>
      <c r="O9" s="15"/>
      <c r="P9" s="15"/>
    </row>
    <row r="10" spans="1:20" x14ac:dyDescent="0.25">
      <c r="B10" s="34"/>
      <c r="C10" s="34"/>
      <c r="D10" s="15"/>
      <c r="E10" s="15"/>
      <c r="F10" s="15"/>
      <c r="G10" s="15"/>
      <c r="H10" s="15"/>
      <c r="I10" s="15"/>
      <c r="J10" s="15"/>
      <c r="K10" s="15"/>
      <c r="L10" s="15"/>
      <c r="M10" s="15"/>
      <c r="N10" s="15"/>
      <c r="O10" s="15"/>
      <c r="P10" s="15"/>
      <c r="R10" s="36"/>
    </row>
    <row r="11" spans="1:20" ht="19.5" thickBot="1" x14ac:dyDescent="0.3">
      <c r="A11" s="37"/>
      <c r="B11" s="38" t="s">
        <v>55</v>
      </c>
      <c r="C11" s="38"/>
      <c r="D11" s="39" t="s">
        <v>1048</v>
      </c>
      <c r="E11" s="40"/>
      <c r="F11" s="40"/>
      <c r="G11" s="40"/>
      <c r="H11" s="40"/>
      <c r="I11" s="40"/>
      <c r="J11" s="40"/>
      <c r="K11" s="40"/>
      <c r="L11" s="40"/>
      <c r="M11" s="40"/>
      <c r="N11" s="40"/>
      <c r="O11" s="40"/>
      <c r="P11" s="40"/>
      <c r="Q11" s="37"/>
      <c r="R11" s="42"/>
      <c r="S11" s="37"/>
    </row>
    <row r="12" spans="1:20" x14ac:dyDescent="0.25"/>
    <row r="13" spans="1:20" x14ac:dyDescent="0.25">
      <c r="B13" s="15" t="s">
        <v>671</v>
      </c>
      <c r="D13" s="186" t="s">
        <v>1072</v>
      </c>
      <c r="E13" s="186"/>
      <c r="F13" s="186"/>
      <c r="G13" s="186"/>
      <c r="H13" s="186"/>
      <c r="I13" s="186"/>
      <c r="J13" s="186"/>
      <c r="K13" s="186"/>
      <c r="L13" s="186"/>
      <c r="M13" s="186"/>
      <c r="N13" s="186"/>
      <c r="O13" s="186"/>
      <c r="P13" s="52"/>
      <c r="R13" s="67"/>
      <c r="T13" s="11" t="str">
        <f>IF(ISBLANK(R13),"R","G")</f>
        <v>R</v>
      </c>
    </row>
    <row r="14" spans="1:20" x14ac:dyDescent="0.25">
      <c r="E14" s="54"/>
      <c r="F14" s="54"/>
      <c r="G14" s="54"/>
      <c r="H14" s="54"/>
      <c r="I14" s="54"/>
      <c r="J14" s="54"/>
      <c r="K14" s="54"/>
      <c r="L14" s="54"/>
      <c r="M14" s="54"/>
      <c r="N14" s="54"/>
      <c r="O14" s="54"/>
      <c r="P14" s="54"/>
      <c r="R14" s="80"/>
    </row>
    <row r="15" spans="1:20" ht="29.25" customHeight="1" x14ac:dyDescent="0.25">
      <c r="D15" s="184" t="s">
        <v>1255</v>
      </c>
      <c r="E15" s="184"/>
      <c r="F15" s="184"/>
      <c r="G15" s="184"/>
      <c r="H15" s="184"/>
      <c r="I15" s="184"/>
      <c r="J15" s="184"/>
      <c r="K15" s="184"/>
      <c r="L15" s="184"/>
      <c r="M15" s="184"/>
      <c r="N15" s="184"/>
      <c r="O15" s="184"/>
      <c r="P15" s="54"/>
      <c r="R15" s="81">
        <f>SUM(R16:R17)</f>
        <v>0</v>
      </c>
    </row>
    <row r="16" spans="1:20" ht="17.45" customHeight="1" x14ac:dyDescent="0.25">
      <c r="B16" s="34" t="s">
        <v>672</v>
      </c>
      <c r="C16" s="34"/>
      <c r="E16" s="186" t="s">
        <v>872</v>
      </c>
      <c r="F16" s="186"/>
      <c r="G16" s="186"/>
      <c r="H16" s="186"/>
      <c r="I16" s="186"/>
      <c r="J16" s="186"/>
      <c r="K16" s="186"/>
      <c r="L16" s="186"/>
      <c r="M16" s="186"/>
      <c r="N16" s="186"/>
      <c r="O16" s="186"/>
      <c r="P16" s="52"/>
      <c r="R16" s="67"/>
      <c r="T16" s="11" t="str">
        <f>IF(OR(AND($R$13&lt;=0,NOT(ISBLANK(R16))),AND($R$13&gt;0,ISBLANK(R16))),"R","G")</f>
        <v>G</v>
      </c>
    </row>
    <row r="17" spans="2:20" ht="14.45" customHeight="1" x14ac:dyDescent="0.25">
      <c r="B17" s="15" t="s">
        <v>673</v>
      </c>
      <c r="E17" s="186" t="s">
        <v>863</v>
      </c>
      <c r="F17" s="186"/>
      <c r="G17" s="186"/>
      <c r="H17" s="186"/>
      <c r="I17" s="186"/>
      <c r="J17" s="186"/>
      <c r="K17" s="186"/>
      <c r="L17" s="186"/>
      <c r="M17" s="186"/>
      <c r="N17" s="186"/>
      <c r="O17" s="186"/>
      <c r="P17" s="52"/>
      <c r="R17" s="67"/>
      <c r="T17" s="11" t="str">
        <f>IF(OR(AND($R$13&lt;=0,NOT(ISBLANK(R17))),AND($R$13&gt;0,ISBLANK(R17))),"R","G")</f>
        <v>G</v>
      </c>
    </row>
    <row r="18" spans="2:20" ht="17.100000000000001" customHeight="1" x14ac:dyDescent="0.25">
      <c r="E18" s="54"/>
      <c r="F18" s="54"/>
      <c r="G18" s="54"/>
      <c r="H18" s="54"/>
      <c r="I18" s="54"/>
      <c r="J18" s="54"/>
      <c r="K18" s="54"/>
      <c r="L18" s="54"/>
      <c r="M18" s="54"/>
      <c r="N18" s="54"/>
      <c r="O18" s="54"/>
      <c r="P18" s="54"/>
    </row>
    <row r="19" spans="2:20" ht="15.6" customHeight="1" x14ac:dyDescent="0.25">
      <c r="B19" s="15" t="s">
        <v>674</v>
      </c>
      <c r="D19" s="186" t="s">
        <v>849</v>
      </c>
      <c r="E19" s="186"/>
      <c r="F19" s="186"/>
      <c r="G19" s="186"/>
      <c r="H19" s="186"/>
      <c r="I19" s="186"/>
      <c r="J19" s="186"/>
      <c r="K19" s="186"/>
      <c r="L19" s="186"/>
      <c r="M19" s="186"/>
      <c r="N19" s="186"/>
      <c r="O19" s="186"/>
      <c r="P19" s="52"/>
      <c r="R19" s="67"/>
      <c r="T19" s="11" t="str">
        <f>IF(ISBLANK(R19),"R","G")</f>
        <v>R</v>
      </c>
    </row>
    <row r="20" spans="2:20" x14ac:dyDescent="0.25">
      <c r="E20" s="54"/>
      <c r="F20" s="54"/>
      <c r="G20" s="54"/>
      <c r="H20" s="54"/>
      <c r="I20" s="54"/>
      <c r="J20" s="54"/>
      <c r="K20" s="54"/>
      <c r="L20" s="54"/>
      <c r="M20" s="54"/>
      <c r="N20" s="54"/>
      <c r="O20" s="54"/>
      <c r="P20" s="54"/>
    </row>
    <row r="21" spans="2:20" ht="15" customHeight="1" x14ac:dyDescent="0.25">
      <c r="B21" s="15" t="s">
        <v>675</v>
      </c>
      <c r="D21" s="186" t="s">
        <v>850</v>
      </c>
      <c r="E21" s="186"/>
      <c r="F21" s="186"/>
      <c r="G21" s="186"/>
      <c r="H21" s="186"/>
      <c r="I21" s="186"/>
      <c r="J21" s="186"/>
      <c r="K21" s="186"/>
      <c r="L21" s="186"/>
      <c r="M21" s="186"/>
      <c r="N21" s="186"/>
      <c r="O21" s="186"/>
      <c r="P21" s="52"/>
      <c r="R21" s="67"/>
      <c r="T21" s="11" t="str">
        <f>IF(ISBLANK(R21),"R","G")</f>
        <v>R</v>
      </c>
    </row>
    <row r="22" spans="2:20" x14ac:dyDescent="0.25">
      <c r="E22" s="54"/>
      <c r="F22" s="54"/>
      <c r="G22" s="54"/>
      <c r="H22" s="54"/>
      <c r="I22" s="54"/>
      <c r="J22" s="54"/>
      <c r="K22" s="54"/>
      <c r="L22" s="54"/>
      <c r="M22" s="54"/>
      <c r="N22" s="54"/>
      <c r="O22" s="54"/>
      <c r="P22" s="54"/>
    </row>
    <row r="23" spans="2:20" ht="15" customHeight="1" x14ac:dyDescent="0.25">
      <c r="B23" s="15" t="s">
        <v>676</v>
      </c>
      <c r="D23" s="186" t="s">
        <v>851</v>
      </c>
      <c r="E23" s="186"/>
      <c r="F23" s="186"/>
      <c r="G23" s="186"/>
      <c r="H23" s="186"/>
      <c r="I23" s="186"/>
      <c r="J23" s="186"/>
      <c r="K23" s="186"/>
      <c r="L23" s="186"/>
      <c r="M23" s="186"/>
      <c r="N23" s="186"/>
      <c r="O23" s="186"/>
      <c r="P23" s="52"/>
      <c r="R23" s="67"/>
      <c r="T23" s="11" t="str">
        <f>IF(ISBLANK(R23),"R","G")</f>
        <v>R</v>
      </c>
    </row>
    <row r="24" spans="2:20" x14ac:dyDescent="0.25">
      <c r="E24" s="54"/>
      <c r="F24" s="54"/>
      <c r="G24" s="54"/>
      <c r="H24" s="54"/>
      <c r="I24" s="54"/>
      <c r="J24" s="54"/>
      <c r="K24" s="54"/>
      <c r="L24" s="54"/>
      <c r="M24" s="54"/>
      <c r="N24" s="54"/>
      <c r="O24" s="54"/>
      <c r="P24" s="54"/>
    </row>
    <row r="25" spans="2:20" ht="15" customHeight="1" x14ac:dyDescent="0.25">
      <c r="B25" s="15" t="s">
        <v>677</v>
      </c>
      <c r="D25" s="186" t="s">
        <v>852</v>
      </c>
      <c r="E25" s="186"/>
      <c r="F25" s="186"/>
      <c r="G25" s="186"/>
      <c r="H25" s="186"/>
      <c r="I25" s="186"/>
      <c r="J25" s="186"/>
      <c r="K25" s="186"/>
      <c r="L25" s="186"/>
      <c r="M25" s="186"/>
      <c r="N25" s="186"/>
      <c r="O25" s="186"/>
      <c r="P25" s="52"/>
      <c r="R25" s="67"/>
      <c r="T25" s="11" t="str">
        <f>IF(ISBLANK(R25),"R","G")</f>
        <v>R</v>
      </c>
    </row>
    <row r="26" spans="2:20" x14ac:dyDescent="0.25">
      <c r="E26" s="54"/>
      <c r="F26" s="54"/>
      <c r="G26" s="54"/>
      <c r="H26" s="54"/>
      <c r="I26" s="54"/>
      <c r="J26" s="54"/>
      <c r="K26" s="54"/>
      <c r="L26" s="54"/>
      <c r="M26" s="54"/>
      <c r="N26" s="54"/>
      <c r="O26" s="54"/>
      <c r="P26" s="54"/>
    </row>
    <row r="27" spans="2:20" ht="41.45" customHeight="1" x14ac:dyDescent="0.25">
      <c r="B27" s="15" t="s">
        <v>678</v>
      </c>
      <c r="D27" s="186" t="s">
        <v>1265</v>
      </c>
      <c r="E27" s="186"/>
      <c r="F27" s="186"/>
      <c r="G27" s="186"/>
      <c r="H27" s="186"/>
      <c r="I27" s="186"/>
      <c r="J27" s="186"/>
      <c r="K27" s="186"/>
      <c r="L27" s="186"/>
      <c r="M27" s="186"/>
      <c r="N27" s="186"/>
      <c r="O27" s="186"/>
      <c r="P27" s="52"/>
      <c r="R27" s="67"/>
      <c r="T27" s="11" t="str">
        <f>IF(ISBLANK(R27),"R","G")</f>
        <v>R</v>
      </c>
    </row>
    <row r="28" spans="2:20" x14ac:dyDescent="0.25">
      <c r="E28" s="54"/>
      <c r="F28" s="54"/>
      <c r="G28" s="54"/>
      <c r="H28" s="54"/>
      <c r="I28" s="54"/>
      <c r="J28" s="54"/>
      <c r="K28" s="54"/>
      <c r="L28" s="54"/>
      <c r="M28" s="54"/>
      <c r="N28" s="54"/>
      <c r="O28" s="54"/>
      <c r="P28" s="54"/>
    </row>
    <row r="29" spans="2:20" ht="44.1" customHeight="1" x14ac:dyDescent="0.25">
      <c r="B29" s="15" t="s">
        <v>679</v>
      </c>
      <c r="D29" s="186" t="s">
        <v>853</v>
      </c>
      <c r="E29" s="186"/>
      <c r="F29" s="186"/>
      <c r="G29" s="186"/>
      <c r="H29" s="186"/>
      <c r="I29" s="186"/>
      <c r="J29" s="186"/>
      <c r="K29" s="186"/>
      <c r="L29" s="186"/>
      <c r="M29" s="186"/>
      <c r="N29" s="186"/>
      <c r="O29" s="186"/>
      <c r="P29" s="52"/>
      <c r="R29" s="67"/>
      <c r="T29" s="11" t="str">
        <f>IF(ISBLANK(R29),"R","G")</f>
        <v>R</v>
      </c>
    </row>
    <row r="30" spans="2:20" x14ac:dyDescent="0.25">
      <c r="E30" s="54"/>
      <c r="F30" s="54"/>
      <c r="G30" s="54"/>
      <c r="H30" s="54"/>
      <c r="I30" s="54"/>
      <c r="J30" s="54"/>
      <c r="K30" s="54"/>
      <c r="L30" s="54"/>
      <c r="M30" s="54"/>
      <c r="N30" s="54"/>
      <c r="O30" s="54"/>
      <c r="P30" s="54"/>
    </row>
    <row r="31" spans="2:20" ht="32.25" customHeight="1" x14ac:dyDescent="0.25">
      <c r="B31" s="15" t="s">
        <v>680</v>
      </c>
      <c r="D31" s="186" t="s">
        <v>854</v>
      </c>
      <c r="E31" s="186"/>
      <c r="F31" s="186"/>
      <c r="G31" s="186"/>
      <c r="H31" s="186"/>
      <c r="I31" s="186"/>
      <c r="J31" s="186"/>
      <c r="K31" s="186"/>
      <c r="L31" s="186"/>
      <c r="M31" s="186"/>
      <c r="N31" s="186"/>
      <c r="O31" s="186"/>
      <c r="P31" s="52"/>
      <c r="R31" s="67"/>
      <c r="T31" s="11" t="str">
        <f>IF(ISBLANK(R31),"R","G")</f>
        <v>R</v>
      </c>
    </row>
    <row r="32" spans="2:20" x14ac:dyDescent="0.25">
      <c r="E32" s="54"/>
      <c r="F32" s="54"/>
      <c r="G32" s="54"/>
      <c r="H32" s="54"/>
      <c r="I32" s="54"/>
      <c r="J32" s="54"/>
      <c r="K32" s="54"/>
      <c r="L32" s="54"/>
      <c r="M32" s="54"/>
      <c r="N32" s="54"/>
      <c r="O32" s="54"/>
      <c r="P32" s="54"/>
    </row>
    <row r="33" spans="2:20" ht="34.5" customHeight="1" x14ac:dyDescent="0.25">
      <c r="B33" s="15" t="s">
        <v>681</v>
      </c>
      <c r="D33" s="186" t="s">
        <v>855</v>
      </c>
      <c r="E33" s="186"/>
      <c r="F33" s="186"/>
      <c r="G33" s="186"/>
      <c r="H33" s="186"/>
      <c r="I33" s="186"/>
      <c r="J33" s="186"/>
      <c r="K33" s="186"/>
      <c r="L33" s="186"/>
      <c r="M33" s="186"/>
      <c r="N33" s="186"/>
      <c r="O33" s="186"/>
      <c r="P33" s="52"/>
      <c r="R33" s="67"/>
      <c r="T33" s="11" t="str">
        <f>IF(ISBLANK(R33),"R","G")</f>
        <v>R</v>
      </c>
    </row>
    <row r="34" spans="2:20" x14ac:dyDescent="0.25">
      <c r="E34" s="54"/>
      <c r="F34" s="54"/>
      <c r="G34" s="54"/>
      <c r="H34" s="54"/>
      <c r="I34" s="54"/>
      <c r="J34" s="54"/>
      <c r="K34" s="54"/>
      <c r="L34" s="54"/>
      <c r="M34" s="54"/>
      <c r="N34" s="54"/>
      <c r="O34" s="54"/>
      <c r="P34" s="54"/>
    </row>
    <row r="35" spans="2:20" ht="31.5" customHeight="1" x14ac:dyDescent="0.25">
      <c r="B35" s="15" t="s">
        <v>682</v>
      </c>
      <c r="D35" s="186" t="s">
        <v>1087</v>
      </c>
      <c r="E35" s="186"/>
      <c r="F35" s="186"/>
      <c r="G35" s="186"/>
      <c r="H35" s="186"/>
      <c r="I35" s="186"/>
      <c r="J35" s="186"/>
      <c r="K35" s="186"/>
      <c r="L35" s="186"/>
      <c r="M35" s="186"/>
      <c r="N35" s="186"/>
      <c r="O35" s="186"/>
      <c r="P35" s="52"/>
      <c r="R35" s="82"/>
    </row>
    <row r="36" spans="2:20" ht="55.5" customHeight="1" x14ac:dyDescent="0.25">
      <c r="E36" s="190" t="s">
        <v>1349</v>
      </c>
      <c r="F36" s="190"/>
      <c r="G36" s="190"/>
      <c r="H36" s="190"/>
      <c r="I36" s="190"/>
      <c r="J36" s="190"/>
      <c r="K36" s="190"/>
      <c r="L36" s="190"/>
      <c r="M36" s="190"/>
      <c r="N36" s="190"/>
      <c r="O36" s="190"/>
      <c r="P36" s="190"/>
      <c r="R36" s="83"/>
    </row>
    <row r="37" spans="2:20" ht="15" customHeight="1" x14ac:dyDescent="0.25">
      <c r="B37" s="46" t="str">
        <f>$B$35&amp;"-M"</f>
        <v>FI-CR-15-M</v>
      </c>
      <c r="C37" s="46"/>
      <c r="D37" s="84"/>
      <c r="E37" s="189" t="s">
        <v>448</v>
      </c>
      <c r="F37" s="189"/>
      <c r="G37" s="189"/>
      <c r="H37" s="189"/>
      <c r="I37" s="189"/>
      <c r="J37" s="189"/>
      <c r="K37" s="189"/>
      <c r="L37" s="189"/>
      <c r="M37" s="189"/>
      <c r="N37" s="189"/>
      <c r="O37" s="189"/>
      <c r="P37" s="52"/>
      <c r="R37" s="98"/>
      <c r="T37" s="11" t="str">
        <f>IF(OR(AND(ISBLANK(R37),$R$33&gt;0),AND($R$33&lt;=0,NOT(ISBLANK(R37)))),"R","G")</f>
        <v>G</v>
      </c>
    </row>
    <row r="38" spans="2:20" x14ac:dyDescent="0.25">
      <c r="B38" s="46" t="str">
        <f>$B$35&amp;"-E"</f>
        <v>FI-CR-15-E</v>
      </c>
      <c r="C38" s="46"/>
      <c r="D38" s="84"/>
      <c r="E38" s="189" t="s">
        <v>1084</v>
      </c>
      <c r="F38" s="189"/>
      <c r="G38" s="189"/>
      <c r="H38" s="189"/>
      <c r="I38" s="189"/>
      <c r="J38" s="189"/>
      <c r="K38" s="189"/>
      <c r="L38" s="189"/>
      <c r="M38" s="189"/>
      <c r="N38" s="189"/>
      <c r="O38" s="189"/>
      <c r="P38" s="52"/>
      <c r="R38" s="67"/>
      <c r="T38" s="11" t="str">
        <f>IF(OR(AND(ISBLANK(R38),$R$33&gt;0),AND($R$33&lt;=0,NOT(ISBLANK(R38)))),"R","G")</f>
        <v>G</v>
      </c>
    </row>
    <row r="39" spans="2:20" x14ac:dyDescent="0.25">
      <c r="B39" s="46" t="str">
        <f>$B$35&amp;"-N"</f>
        <v>FI-CR-15-N</v>
      </c>
      <c r="C39" s="46"/>
      <c r="D39" s="84"/>
      <c r="E39" s="189" t="s">
        <v>1085</v>
      </c>
      <c r="F39" s="189"/>
      <c r="G39" s="189"/>
      <c r="H39" s="189"/>
      <c r="I39" s="189"/>
      <c r="J39" s="189"/>
      <c r="K39" s="189"/>
      <c r="L39" s="189"/>
      <c r="M39" s="189"/>
      <c r="N39" s="189"/>
      <c r="O39" s="189"/>
      <c r="P39" s="52"/>
      <c r="R39" s="67"/>
      <c r="T39" s="11" t="str">
        <f>IF(OR(AND(ISBLANK(R39),$R$33&gt;0),AND($R$33&lt;=0,NOT(ISBLANK(R39)))),"R","G")</f>
        <v>G</v>
      </c>
    </row>
    <row r="40" spans="2:20" ht="26.25" customHeight="1" x14ac:dyDescent="0.25">
      <c r="B40" s="46" t="str">
        <f>$B$35&amp;"-F"</f>
        <v>FI-CR-15-F</v>
      </c>
      <c r="C40" s="46"/>
      <c r="D40" s="84"/>
      <c r="E40" s="191" t="s">
        <v>1086</v>
      </c>
      <c r="F40" s="191"/>
      <c r="G40" s="191"/>
      <c r="H40" s="191"/>
      <c r="I40" s="191"/>
      <c r="J40" s="191"/>
      <c r="K40" s="191"/>
      <c r="L40" s="191"/>
      <c r="M40" s="191"/>
      <c r="N40" s="191"/>
      <c r="O40" s="191"/>
      <c r="P40" s="86"/>
      <c r="R40" s="67"/>
      <c r="T40" s="11" t="str">
        <f>IF(OR(AND(ISBLANK(R40),$R$33&gt;0),AND($R$33&lt;=0,NOT(ISBLANK(R40)))),"R","G")</f>
        <v>G</v>
      </c>
    </row>
    <row r="41" spans="2:20" x14ac:dyDescent="0.25">
      <c r="B41" s="10"/>
      <c r="C41" s="10"/>
      <c r="D41" s="10"/>
      <c r="E41" s="10"/>
      <c r="F41" s="10"/>
      <c r="G41" s="10"/>
      <c r="H41" s="10"/>
      <c r="I41" s="10"/>
      <c r="J41" s="10"/>
      <c r="K41" s="10"/>
      <c r="L41" s="10"/>
      <c r="M41" s="10"/>
      <c r="N41" s="10"/>
      <c r="O41" s="10"/>
      <c r="P41" s="10"/>
      <c r="R41" s="10"/>
    </row>
    <row r="42" spans="2:20" x14ac:dyDescent="0.25">
      <c r="B42" s="87"/>
      <c r="C42" s="87"/>
      <c r="D42" s="192" t="str">
        <f>IF(R40=0,"",IF(SUM(G43:G55,K43:K55,O43:O49)=R40,"","The totals included next to each jurisdiction do not add up to "&amp;R40&amp;", please revise the figures."))</f>
        <v/>
      </c>
      <c r="E42" s="192"/>
      <c r="F42" s="192"/>
      <c r="G42" s="192"/>
      <c r="H42" s="192"/>
      <c r="I42" s="192"/>
      <c r="J42" s="192"/>
      <c r="K42" s="192"/>
      <c r="L42" s="192"/>
      <c r="M42" s="192"/>
      <c r="N42" s="192"/>
      <c r="O42" s="192"/>
      <c r="P42" s="88"/>
      <c r="R42" s="89"/>
      <c r="T42" s="11" t="str">
        <f>IF(D42="","G","R")</f>
        <v>G</v>
      </c>
    </row>
    <row r="43" spans="2:20" ht="25.5" x14ac:dyDescent="0.25">
      <c r="C43" s="90" t="str">
        <f t="shared" ref="C43:C55" si="0">$B$40&amp;"-"&amp;D43</f>
        <v>FI-CR-15-F-AF</v>
      </c>
      <c r="D43" s="91" t="s">
        <v>1093</v>
      </c>
      <c r="E43" s="92" t="s">
        <v>317</v>
      </c>
      <c r="F43" s="93"/>
      <c r="G43" s="99">
        <v>0</v>
      </c>
      <c r="H43" s="90" t="str">
        <f>$B$40&amp;"-"&amp;I43</f>
        <v>FI-CR-15-F-LA</v>
      </c>
      <c r="I43" s="91" t="s">
        <v>1317</v>
      </c>
      <c r="J43" s="92" t="s">
        <v>1312</v>
      </c>
      <c r="K43" s="99">
        <v>0</v>
      </c>
      <c r="L43" s="90" t="str">
        <f t="shared" ref="L43:L49" si="1">$B$40&amp;"-"&amp;M43</f>
        <v>FI-CR-15-F-TZ</v>
      </c>
      <c r="M43" s="91" t="s">
        <v>1110</v>
      </c>
      <c r="N43" s="92" t="s">
        <v>526</v>
      </c>
      <c r="O43" s="99">
        <v>0</v>
      </c>
      <c r="P43" s="54"/>
      <c r="R43" s="89"/>
      <c r="T43" s="11" t="str">
        <f t="shared" ref="T43:T48" si="2">IF(OR(AND(OR(ISBLANK(G43),ISBLANK(K43),ISBLANK(O44)),$R$40&gt;0),AND($R$40&lt;=0,OR(OR(G43&lt;&gt;0,K43&lt;&gt;0,O44&lt;&gt;0)))),"R","G")</f>
        <v>G</v>
      </c>
    </row>
    <row r="44" spans="2:20" x14ac:dyDescent="0.25">
      <c r="C44" s="90" t="str">
        <f t="shared" si="0"/>
        <v>FI-CR-15-F-DZ</v>
      </c>
      <c r="D44" s="91" t="s">
        <v>1094</v>
      </c>
      <c r="E44" s="92" t="s">
        <v>319</v>
      </c>
      <c r="F44" s="93"/>
      <c r="G44" s="99">
        <v>0</v>
      </c>
      <c r="H44" s="90" t="str">
        <f t="shared" ref="H44:H55" si="3">$B$40&amp;"-"&amp;I44</f>
        <v>FI-CR-15-F-LB</v>
      </c>
      <c r="I44" s="91" t="s">
        <v>1102</v>
      </c>
      <c r="J44" s="92" t="s">
        <v>434</v>
      </c>
      <c r="K44" s="99">
        <v>0</v>
      </c>
      <c r="L44" s="90" t="str">
        <f t="shared" si="1"/>
        <v>FI-CR-15-F-TT</v>
      </c>
      <c r="M44" s="91" t="s">
        <v>1111</v>
      </c>
      <c r="N44" s="92" t="s">
        <v>532</v>
      </c>
      <c r="O44" s="99">
        <v>0</v>
      </c>
      <c r="P44" s="54"/>
      <c r="R44" s="89"/>
      <c r="T44" s="11" t="str">
        <f t="shared" si="2"/>
        <v>G</v>
      </c>
    </row>
    <row r="45" spans="2:20" x14ac:dyDescent="0.25">
      <c r="C45" s="90" t="str">
        <f t="shared" si="0"/>
        <v>FI-CR-15-F-AO</v>
      </c>
      <c r="D45" s="91" t="s">
        <v>1095</v>
      </c>
      <c r="E45" s="92" t="s">
        <v>322</v>
      </c>
      <c r="F45" s="93"/>
      <c r="G45" s="99">
        <v>0</v>
      </c>
      <c r="H45" s="90" t="str">
        <f t="shared" si="3"/>
        <v>FI-CR-15-F-ML</v>
      </c>
      <c r="I45" s="91" t="s">
        <v>1103</v>
      </c>
      <c r="J45" s="92" t="s">
        <v>447</v>
      </c>
      <c r="K45" s="99">
        <v>0</v>
      </c>
      <c r="L45" s="90" t="str">
        <f t="shared" si="1"/>
        <v>FI-CR-15-F-VU</v>
      </c>
      <c r="M45" s="91" t="s">
        <v>1112</v>
      </c>
      <c r="N45" s="92" t="s">
        <v>546</v>
      </c>
      <c r="O45" s="99">
        <v>0</v>
      </c>
      <c r="P45" s="54"/>
      <c r="R45" s="89"/>
      <c r="T45" s="11" t="str">
        <f t="shared" si="2"/>
        <v>G</v>
      </c>
    </row>
    <row r="46" spans="2:20" x14ac:dyDescent="0.25">
      <c r="C46" s="90" t="str">
        <f t="shared" si="0"/>
        <v>FI-CR-15-F-BO</v>
      </c>
      <c r="D46" s="91" t="s">
        <v>1316</v>
      </c>
      <c r="E46" s="92" t="s">
        <v>342</v>
      </c>
      <c r="F46" s="93"/>
      <c r="G46" s="99">
        <v>0</v>
      </c>
      <c r="H46" s="90" t="str">
        <f t="shared" si="3"/>
        <v>FI-CR-15-F-MN</v>
      </c>
      <c r="I46" s="91" t="s">
        <v>1315</v>
      </c>
      <c r="J46" s="92" t="s">
        <v>457</v>
      </c>
      <c r="K46" s="99">
        <v>0</v>
      </c>
      <c r="L46" s="90" t="str">
        <f t="shared" si="1"/>
        <v>FI-CR-15-F-VE</v>
      </c>
      <c r="M46" s="91" t="s">
        <v>1113</v>
      </c>
      <c r="N46" s="92" t="s">
        <v>547</v>
      </c>
      <c r="O46" s="99">
        <v>0</v>
      </c>
      <c r="P46" s="54"/>
      <c r="R46" s="89"/>
      <c r="T46" s="11" t="str">
        <f t="shared" si="2"/>
        <v>G</v>
      </c>
    </row>
    <row r="47" spans="2:20" x14ac:dyDescent="0.25">
      <c r="C47" s="90" t="str">
        <f t="shared" si="0"/>
        <v>FI-CR-15-F-BG</v>
      </c>
      <c r="D47" s="91" t="s">
        <v>1096</v>
      </c>
      <c r="E47" s="92" t="s">
        <v>349</v>
      </c>
      <c r="F47" s="93"/>
      <c r="G47" s="99">
        <v>0</v>
      </c>
      <c r="H47" s="90" t="str">
        <f t="shared" si="3"/>
        <v>FI-CR-15-F-MZ</v>
      </c>
      <c r="I47" s="91" t="s">
        <v>1104</v>
      </c>
      <c r="J47" s="92" t="s">
        <v>461</v>
      </c>
      <c r="K47" s="99">
        <v>0</v>
      </c>
      <c r="L47" s="90" t="str">
        <f t="shared" si="1"/>
        <v>FI-CR-15-F-VN</v>
      </c>
      <c r="M47" s="91" t="s">
        <v>1114</v>
      </c>
      <c r="N47" s="92" t="s">
        <v>1313</v>
      </c>
      <c r="O47" s="99">
        <v>0</v>
      </c>
      <c r="P47" s="54"/>
      <c r="R47" s="89"/>
      <c r="T47" s="11" t="str">
        <f t="shared" si="2"/>
        <v>G</v>
      </c>
    </row>
    <row r="48" spans="2:20" x14ac:dyDescent="0.25">
      <c r="C48" s="90" t="str">
        <f t="shared" si="0"/>
        <v>FI-CR-15-F-BF</v>
      </c>
      <c r="D48" s="91" t="s">
        <v>1097</v>
      </c>
      <c r="E48" s="92" t="s">
        <v>350</v>
      </c>
      <c r="F48" s="93"/>
      <c r="G48" s="99">
        <v>0</v>
      </c>
      <c r="H48" s="90" t="str">
        <f t="shared" si="3"/>
        <v>FI-CR-15-F-MM</v>
      </c>
      <c r="I48" s="91" t="s">
        <v>1105</v>
      </c>
      <c r="J48" s="92" t="s">
        <v>462</v>
      </c>
      <c r="K48" s="99">
        <v>0</v>
      </c>
      <c r="L48" s="90" t="str">
        <f t="shared" si="1"/>
        <v>FI-CR-15-F-VI</v>
      </c>
      <c r="M48" s="91" t="s">
        <v>1319</v>
      </c>
      <c r="N48" s="92" t="s">
        <v>1314</v>
      </c>
      <c r="O48" s="99">
        <v>0</v>
      </c>
      <c r="P48" s="54"/>
      <c r="R48" s="89"/>
      <c r="T48" s="11" t="str">
        <f t="shared" si="2"/>
        <v>G</v>
      </c>
    </row>
    <row r="49" spans="2:20" x14ac:dyDescent="0.25">
      <c r="C49" s="90" t="str">
        <f t="shared" si="0"/>
        <v>FI-CR-15-F-CM</v>
      </c>
      <c r="D49" s="91" t="s">
        <v>1098</v>
      </c>
      <c r="E49" s="92" t="s">
        <v>353</v>
      </c>
      <c r="F49" s="93"/>
      <c r="G49" s="99">
        <v>0</v>
      </c>
      <c r="H49" s="90" t="str">
        <f t="shared" si="3"/>
        <v>FI-CR-15-F-NA</v>
      </c>
      <c r="I49" s="91" t="s">
        <v>1106</v>
      </c>
      <c r="J49" s="92" t="s">
        <v>463</v>
      </c>
      <c r="K49" s="99">
        <v>0</v>
      </c>
      <c r="L49" s="90" t="str">
        <f t="shared" si="1"/>
        <v>FI-CR-15-F-YE</v>
      </c>
      <c r="M49" s="91" t="s">
        <v>1115</v>
      </c>
      <c r="N49" s="92" t="s">
        <v>553</v>
      </c>
      <c r="O49" s="99">
        <v>0</v>
      </c>
      <c r="P49" s="54"/>
      <c r="R49" s="89"/>
      <c r="T49" s="11" t="str">
        <f t="shared" ref="T49:T55" si="4">IF(OR(AND(OR(ISBLANK(G49),ISBLANK(K49)),$R$40&gt;0),AND($R$40&lt;=0,OR(OR(G49&lt;&gt;0,K49&lt;&gt;0)))),"R","G")</f>
        <v>G</v>
      </c>
    </row>
    <row r="50" spans="2:20" ht="38.25" x14ac:dyDescent="0.25">
      <c r="C50" s="90" t="str">
        <f t="shared" si="0"/>
        <v>FI-CR-15-F-CD</v>
      </c>
      <c r="D50" s="91" t="s">
        <v>1099</v>
      </c>
      <c r="E50" s="92" t="s">
        <v>366</v>
      </c>
      <c r="F50" s="93"/>
      <c r="G50" s="99">
        <v>0</v>
      </c>
      <c r="H50" s="90" t="str">
        <f t="shared" si="3"/>
        <v>FI-CR-15-F-NP</v>
      </c>
      <c r="I50" s="91" t="s">
        <v>1318</v>
      </c>
      <c r="J50" s="92" t="s">
        <v>465</v>
      </c>
      <c r="K50" s="99">
        <v>0</v>
      </c>
      <c r="L50" s="90"/>
      <c r="M50" s="54"/>
      <c r="N50" s="54"/>
      <c r="O50" s="54"/>
      <c r="P50" s="54"/>
      <c r="R50" s="89"/>
      <c r="T50" s="11" t="str">
        <f t="shared" si="4"/>
        <v>G</v>
      </c>
    </row>
    <row r="51" spans="2:20" x14ac:dyDescent="0.25">
      <c r="C51" s="90" t="str">
        <f t="shared" si="0"/>
        <v>FI-CR-15-F-CI</v>
      </c>
      <c r="D51" s="91" t="s">
        <v>1091</v>
      </c>
      <c r="E51" s="92" t="s">
        <v>369</v>
      </c>
      <c r="F51" s="93"/>
      <c r="G51" s="99">
        <v>0</v>
      </c>
      <c r="H51" s="90" t="str">
        <f t="shared" si="3"/>
        <v>FI-CR-15-F-NG</v>
      </c>
      <c r="I51" s="91" t="s">
        <v>1107</v>
      </c>
      <c r="J51" s="92" t="s">
        <v>472</v>
      </c>
      <c r="K51" s="99">
        <v>0</v>
      </c>
      <c r="L51" s="90"/>
      <c r="M51" s="54"/>
      <c r="N51" s="54"/>
      <c r="O51" s="54"/>
      <c r="P51" s="54"/>
      <c r="R51" s="89"/>
      <c r="T51" s="11" t="str">
        <f t="shared" si="4"/>
        <v>G</v>
      </c>
    </row>
    <row r="52" spans="2:20" x14ac:dyDescent="0.25">
      <c r="C52" s="90" t="str">
        <f t="shared" si="0"/>
        <v>FI-CR-15-F-HT</v>
      </c>
      <c r="D52" s="91" t="s">
        <v>1100</v>
      </c>
      <c r="E52" s="92" t="s">
        <v>408</v>
      </c>
      <c r="F52" s="93"/>
      <c r="G52" s="99">
        <v>0</v>
      </c>
      <c r="H52" s="90" t="str">
        <f t="shared" si="3"/>
        <v>FI-CR-15-F-RU</v>
      </c>
      <c r="I52" s="91" t="s">
        <v>1321</v>
      </c>
      <c r="J52" s="92" t="s">
        <v>1320</v>
      </c>
      <c r="K52" s="99">
        <v>0</v>
      </c>
      <c r="L52" s="90"/>
      <c r="M52" s="54"/>
      <c r="N52" s="54"/>
      <c r="O52" s="54"/>
      <c r="P52" s="54"/>
      <c r="R52" s="89"/>
      <c r="T52" s="11" t="str">
        <f t="shared" si="4"/>
        <v>G</v>
      </c>
    </row>
    <row r="53" spans="2:20" ht="25.5" x14ac:dyDescent="0.25">
      <c r="C53" s="90" t="str">
        <f t="shared" si="0"/>
        <v>FI-CR-15-F-IR</v>
      </c>
      <c r="D53" s="91" t="s">
        <v>912</v>
      </c>
      <c r="E53" s="92" t="s">
        <v>417</v>
      </c>
      <c r="F53" s="93"/>
      <c r="G53" s="99">
        <v>0</v>
      </c>
      <c r="H53" s="90" t="str">
        <f t="shared" si="3"/>
        <v>FI-CR-15-F-ZA</v>
      </c>
      <c r="I53" s="91" t="s">
        <v>1108</v>
      </c>
      <c r="J53" s="92" t="s">
        <v>513</v>
      </c>
      <c r="K53" s="99">
        <v>0</v>
      </c>
      <c r="L53" s="90"/>
      <c r="M53" s="54"/>
      <c r="N53" s="54"/>
      <c r="O53" s="54"/>
      <c r="P53" s="54"/>
      <c r="R53" s="89"/>
      <c r="T53" s="11" t="str">
        <f t="shared" si="4"/>
        <v>G</v>
      </c>
    </row>
    <row r="54" spans="2:20" x14ac:dyDescent="0.25">
      <c r="C54" s="90" t="str">
        <f t="shared" si="0"/>
        <v>FI-CR-15-F-KE</v>
      </c>
      <c r="D54" s="91" t="s">
        <v>1101</v>
      </c>
      <c r="E54" s="92" t="s">
        <v>426</v>
      </c>
      <c r="F54" s="93"/>
      <c r="G54" s="99">
        <v>0</v>
      </c>
      <c r="H54" s="90" t="str">
        <f t="shared" si="3"/>
        <v>FI-CR-15-F-SS</v>
      </c>
      <c r="I54" s="91" t="s">
        <v>1089</v>
      </c>
      <c r="J54" s="92" t="s">
        <v>1088</v>
      </c>
      <c r="K54" s="99">
        <v>0</v>
      </c>
      <c r="L54" s="94"/>
      <c r="M54" s="95"/>
      <c r="N54" s="95"/>
      <c r="O54" s="95"/>
      <c r="P54" s="54"/>
      <c r="R54" s="89"/>
      <c r="T54" s="11" t="str">
        <f t="shared" si="4"/>
        <v>G</v>
      </c>
    </row>
    <row r="55" spans="2:20" ht="25.5" x14ac:dyDescent="0.25">
      <c r="C55" s="90" t="str">
        <f t="shared" si="0"/>
        <v>FI-CR-15-F-KP</v>
      </c>
      <c r="D55" s="91" t="s">
        <v>1090</v>
      </c>
      <c r="E55" s="92" t="s">
        <v>428</v>
      </c>
      <c r="F55" s="96"/>
      <c r="G55" s="99">
        <v>0</v>
      </c>
      <c r="H55" s="90" t="str">
        <f t="shared" si="3"/>
        <v>FI-CR-15-F-SY</v>
      </c>
      <c r="I55" s="91" t="s">
        <v>1109</v>
      </c>
      <c r="J55" s="92" t="s">
        <v>523</v>
      </c>
      <c r="K55" s="99">
        <v>0</v>
      </c>
      <c r="L55" s="94"/>
      <c r="M55" s="95"/>
      <c r="N55" s="95"/>
      <c r="O55" s="95"/>
      <c r="P55" s="54"/>
      <c r="R55" s="89"/>
      <c r="T55" s="11" t="str">
        <f t="shared" si="4"/>
        <v>G</v>
      </c>
    </row>
    <row r="56" spans="2:20" x14ac:dyDescent="0.25">
      <c r="E56" s="54"/>
      <c r="F56" s="54"/>
      <c r="G56" s="54"/>
      <c r="H56" s="54"/>
      <c r="I56" s="54"/>
      <c r="J56" s="54"/>
      <c r="K56" s="54"/>
      <c r="L56" s="54"/>
      <c r="M56" s="54"/>
      <c r="N56" s="54"/>
      <c r="O56" s="54"/>
      <c r="P56" s="54"/>
    </row>
    <row r="57" spans="2:20" ht="47.1" customHeight="1" x14ac:dyDescent="0.25">
      <c r="B57" s="15" t="s">
        <v>683</v>
      </c>
      <c r="D57" s="186" t="s">
        <v>1266</v>
      </c>
      <c r="E57" s="186"/>
      <c r="F57" s="186"/>
      <c r="G57" s="186"/>
      <c r="H57" s="186"/>
      <c r="I57" s="186"/>
      <c r="J57" s="186"/>
      <c r="K57" s="186"/>
      <c r="L57" s="186"/>
      <c r="M57" s="186"/>
      <c r="N57" s="186"/>
      <c r="O57" s="186"/>
      <c r="P57" s="52"/>
      <c r="R57" s="67"/>
      <c r="T57" s="11" t="str">
        <f>IF(ISBLANK(R57),"R","G")</f>
        <v>R</v>
      </c>
    </row>
    <row r="58" spans="2:20" x14ac:dyDescent="0.25">
      <c r="E58" s="54"/>
      <c r="F58" s="54"/>
      <c r="G58" s="54"/>
      <c r="H58" s="54"/>
      <c r="I58" s="54"/>
      <c r="J58" s="54"/>
      <c r="K58" s="54"/>
      <c r="L58" s="54"/>
      <c r="M58" s="54"/>
      <c r="N58" s="54"/>
      <c r="O58" s="54"/>
      <c r="P58" s="54"/>
    </row>
    <row r="59" spans="2:20" ht="49.5" customHeight="1" x14ac:dyDescent="0.25">
      <c r="B59" s="15" t="s">
        <v>684</v>
      </c>
      <c r="D59" s="186" t="s">
        <v>856</v>
      </c>
      <c r="E59" s="186"/>
      <c r="F59" s="186"/>
      <c r="G59" s="186"/>
      <c r="H59" s="186"/>
      <c r="I59" s="186"/>
      <c r="J59" s="186"/>
      <c r="K59" s="186"/>
      <c r="L59" s="186"/>
      <c r="M59" s="186"/>
      <c r="N59" s="186"/>
      <c r="O59" s="186"/>
      <c r="P59" s="52"/>
      <c r="R59" s="67"/>
      <c r="T59" s="11" t="str">
        <f>IF(ISBLANK(R59),"R","G")</f>
        <v>R</v>
      </c>
    </row>
    <row r="60" spans="2:20" x14ac:dyDescent="0.25">
      <c r="E60" s="54"/>
      <c r="F60" s="54"/>
      <c r="G60" s="54"/>
      <c r="H60" s="54"/>
      <c r="I60" s="54"/>
      <c r="J60" s="54"/>
      <c r="K60" s="54"/>
      <c r="L60" s="54"/>
      <c r="M60" s="54"/>
      <c r="N60" s="54"/>
      <c r="O60" s="54"/>
      <c r="P60" s="54"/>
    </row>
    <row r="61" spans="2:20" ht="51" customHeight="1" x14ac:dyDescent="0.25">
      <c r="B61" s="15" t="s">
        <v>685</v>
      </c>
      <c r="D61" s="186" t="s">
        <v>1267</v>
      </c>
      <c r="E61" s="186"/>
      <c r="F61" s="186"/>
      <c r="G61" s="186"/>
      <c r="H61" s="186"/>
      <c r="I61" s="186"/>
      <c r="J61" s="186"/>
      <c r="K61" s="186"/>
      <c r="L61" s="186"/>
      <c r="M61" s="186"/>
      <c r="N61" s="186"/>
      <c r="O61" s="186"/>
      <c r="P61" s="52"/>
      <c r="R61" s="67"/>
      <c r="T61" s="11" t="str">
        <f>IF(ISBLANK(R61),"R","G")</f>
        <v>R</v>
      </c>
    </row>
    <row r="62" spans="2:20" x14ac:dyDescent="0.25">
      <c r="E62" s="54"/>
      <c r="F62" s="54"/>
      <c r="G62" s="54"/>
      <c r="H62" s="54"/>
      <c r="I62" s="54"/>
      <c r="J62" s="54"/>
      <c r="K62" s="54"/>
      <c r="L62" s="54"/>
      <c r="M62" s="54"/>
      <c r="N62" s="54"/>
      <c r="O62" s="54"/>
      <c r="P62" s="54"/>
    </row>
    <row r="63" spans="2:20" ht="53.25" customHeight="1" x14ac:dyDescent="0.25">
      <c r="B63" s="15" t="s">
        <v>686</v>
      </c>
      <c r="D63" s="186" t="s">
        <v>857</v>
      </c>
      <c r="E63" s="186"/>
      <c r="F63" s="186"/>
      <c r="G63" s="186"/>
      <c r="H63" s="186"/>
      <c r="I63" s="186"/>
      <c r="J63" s="186"/>
      <c r="K63" s="186"/>
      <c r="L63" s="186"/>
      <c r="M63" s="186"/>
      <c r="N63" s="186"/>
      <c r="O63" s="186"/>
      <c r="P63" s="52"/>
      <c r="R63" s="67"/>
      <c r="T63" s="11" t="str">
        <f>IF(ISBLANK(R63),"R","G")</f>
        <v>R</v>
      </c>
    </row>
    <row r="64" spans="2:20" x14ac:dyDescent="0.25">
      <c r="E64" s="54"/>
      <c r="F64" s="54"/>
      <c r="G64" s="54"/>
      <c r="H64" s="54"/>
      <c r="I64" s="54"/>
      <c r="J64" s="54"/>
      <c r="K64" s="54"/>
      <c r="L64" s="54"/>
      <c r="M64" s="54"/>
      <c r="N64" s="54"/>
      <c r="O64" s="54"/>
      <c r="P64" s="54"/>
    </row>
    <row r="65" spans="1:20" x14ac:dyDescent="0.25">
      <c r="B65" s="15" t="s">
        <v>1268</v>
      </c>
      <c r="D65" s="186" t="s">
        <v>858</v>
      </c>
      <c r="E65" s="186"/>
      <c r="F65" s="186"/>
      <c r="G65" s="186"/>
      <c r="H65" s="186"/>
      <c r="I65" s="186"/>
      <c r="J65" s="186"/>
      <c r="K65" s="186"/>
      <c r="L65" s="186"/>
      <c r="M65" s="186"/>
      <c r="N65" s="186"/>
      <c r="O65" s="186"/>
      <c r="P65" s="52"/>
      <c r="R65" s="67"/>
      <c r="T65" s="11" t="str">
        <f>IF(ISBLANK(R65),"R","G")</f>
        <v>R</v>
      </c>
    </row>
    <row r="66" spans="1:20" x14ac:dyDescent="0.25">
      <c r="E66" s="54"/>
      <c r="F66" s="54"/>
      <c r="G66" s="54"/>
      <c r="H66" s="54"/>
      <c r="I66" s="54"/>
      <c r="J66" s="54"/>
      <c r="K66" s="54"/>
      <c r="L66" s="54"/>
      <c r="M66" s="54"/>
      <c r="N66" s="54"/>
      <c r="O66" s="54"/>
      <c r="P66" s="54"/>
    </row>
    <row r="67" spans="1:20" x14ac:dyDescent="0.25">
      <c r="B67" s="15" t="s">
        <v>1307</v>
      </c>
      <c r="D67" s="186" t="s">
        <v>859</v>
      </c>
      <c r="E67" s="186"/>
      <c r="F67" s="186"/>
      <c r="G67" s="186"/>
      <c r="H67" s="186"/>
      <c r="I67" s="186"/>
      <c r="J67" s="186"/>
      <c r="K67" s="186"/>
      <c r="L67" s="186"/>
      <c r="M67" s="186"/>
      <c r="N67" s="186"/>
      <c r="O67" s="186"/>
      <c r="P67" s="52"/>
      <c r="R67" s="67"/>
      <c r="T67" s="11" t="str">
        <f>IF(ISBLANK(R67),"R","G")</f>
        <v>R</v>
      </c>
    </row>
    <row r="68" spans="1:20" x14ac:dyDescent="0.25">
      <c r="E68" s="54"/>
      <c r="F68" s="54"/>
      <c r="G68" s="54"/>
      <c r="H68" s="54"/>
      <c r="I68" s="54"/>
      <c r="J68" s="54"/>
      <c r="K68" s="54"/>
      <c r="L68" s="54"/>
      <c r="M68" s="54"/>
      <c r="N68" s="54"/>
      <c r="O68" s="54"/>
      <c r="P68" s="54"/>
    </row>
    <row r="69" spans="1:20" x14ac:dyDescent="0.25">
      <c r="B69" s="15" t="s">
        <v>687</v>
      </c>
      <c r="D69" s="186" t="s">
        <v>860</v>
      </c>
      <c r="E69" s="186"/>
      <c r="F69" s="186"/>
      <c r="G69" s="186"/>
      <c r="H69" s="186"/>
      <c r="I69" s="186"/>
      <c r="J69" s="186"/>
      <c r="K69" s="186"/>
      <c r="L69" s="186"/>
      <c r="M69" s="186"/>
      <c r="N69" s="186"/>
      <c r="O69" s="186"/>
      <c r="P69" s="52"/>
      <c r="R69" s="67"/>
      <c r="T69" s="11" t="str">
        <f>IF(ISBLANK(R69),"R","G")</f>
        <v>R</v>
      </c>
    </row>
    <row r="70" spans="1:20" x14ac:dyDescent="0.25">
      <c r="E70" s="54"/>
      <c r="F70" s="54"/>
      <c r="G70" s="54"/>
      <c r="H70" s="54"/>
      <c r="I70" s="54"/>
      <c r="J70" s="54"/>
      <c r="K70" s="54"/>
      <c r="L70" s="54"/>
      <c r="M70" s="54"/>
      <c r="N70" s="54"/>
      <c r="O70" s="54"/>
      <c r="P70" s="54"/>
    </row>
    <row r="71" spans="1:20" ht="45" customHeight="1" x14ac:dyDescent="0.25">
      <c r="B71" s="15" t="s">
        <v>688</v>
      </c>
      <c r="D71" s="186" t="s">
        <v>861</v>
      </c>
      <c r="E71" s="186"/>
      <c r="F71" s="186"/>
      <c r="G71" s="186"/>
      <c r="H71" s="186"/>
      <c r="I71" s="186"/>
      <c r="J71" s="186"/>
      <c r="K71" s="186"/>
      <c r="L71" s="186"/>
      <c r="M71" s="186"/>
      <c r="N71" s="186"/>
      <c r="O71" s="186"/>
      <c r="P71" s="52"/>
      <c r="R71" s="97">
        <f>SUM(R72:R73)</f>
        <v>0</v>
      </c>
    </row>
    <row r="72" spans="1:20" x14ac:dyDescent="0.25">
      <c r="B72" s="15" t="s">
        <v>689</v>
      </c>
      <c r="E72" s="186" t="s">
        <v>862</v>
      </c>
      <c r="F72" s="186"/>
      <c r="G72" s="186"/>
      <c r="H72" s="186"/>
      <c r="I72" s="186"/>
      <c r="J72" s="186"/>
      <c r="K72" s="186"/>
      <c r="L72" s="186"/>
      <c r="M72" s="186"/>
      <c r="N72" s="186"/>
      <c r="O72" s="186"/>
      <c r="P72" s="52"/>
      <c r="R72" s="67"/>
      <c r="T72" s="11" t="str">
        <f>IF(ISBLANK(R72),"R","G")</f>
        <v>R</v>
      </c>
    </row>
    <row r="73" spans="1:20" ht="15" customHeight="1" x14ac:dyDescent="0.25">
      <c r="B73" s="15" t="s">
        <v>690</v>
      </c>
      <c r="E73" s="186" t="s">
        <v>863</v>
      </c>
      <c r="F73" s="186"/>
      <c r="G73" s="186"/>
      <c r="H73" s="186"/>
      <c r="I73" s="186"/>
      <c r="J73" s="186"/>
      <c r="K73" s="186"/>
      <c r="L73" s="186"/>
      <c r="M73" s="186"/>
      <c r="N73" s="186"/>
      <c r="O73" s="186"/>
      <c r="P73" s="52"/>
      <c r="R73" s="67"/>
      <c r="T73" s="11" t="str">
        <f>IF(ISBLANK(R73),"R","G")</f>
        <v>R</v>
      </c>
    </row>
    <row r="74" spans="1:20" x14ac:dyDescent="0.25">
      <c r="E74" s="54"/>
      <c r="F74" s="54"/>
      <c r="G74" s="54"/>
      <c r="H74" s="54"/>
      <c r="I74" s="54"/>
      <c r="J74" s="54"/>
      <c r="K74" s="54"/>
      <c r="L74" s="54"/>
      <c r="M74" s="54"/>
      <c r="N74" s="54"/>
      <c r="O74" s="54"/>
      <c r="P74" s="54"/>
    </row>
    <row r="75" spans="1:20" ht="29.25" customHeight="1" x14ac:dyDescent="0.25">
      <c r="B75" s="15" t="s">
        <v>716</v>
      </c>
      <c r="D75" s="186" t="s">
        <v>864</v>
      </c>
      <c r="E75" s="186"/>
      <c r="F75" s="186"/>
      <c r="G75" s="186"/>
      <c r="H75" s="186"/>
      <c r="I75" s="186"/>
      <c r="J75" s="186"/>
      <c r="K75" s="186"/>
      <c r="L75" s="186"/>
      <c r="M75" s="186"/>
      <c r="N75" s="186"/>
      <c r="O75" s="186"/>
      <c r="P75" s="52"/>
      <c r="R75" s="67"/>
      <c r="T75" s="11" t="str">
        <f>IF(ISBLANK(R75),"R","G")</f>
        <v>R</v>
      </c>
    </row>
    <row r="76" spans="1:20" x14ac:dyDescent="0.25">
      <c r="B76" s="34"/>
      <c r="C76" s="34"/>
      <c r="D76" s="15"/>
      <c r="E76" s="15"/>
      <c r="F76" s="15"/>
      <c r="G76" s="15"/>
      <c r="H76" s="15"/>
      <c r="I76" s="15"/>
      <c r="J76" s="15"/>
      <c r="K76" s="15"/>
      <c r="L76" s="15"/>
      <c r="M76" s="15"/>
      <c r="N76" s="15"/>
      <c r="O76" s="15"/>
      <c r="P76" s="15"/>
      <c r="R76" s="36"/>
    </row>
    <row r="77" spans="1:20" ht="7.35" customHeight="1" x14ac:dyDescent="0.25">
      <c r="B77" s="71"/>
      <c r="C77" s="71"/>
      <c r="D77" s="15"/>
      <c r="E77" s="15"/>
      <c r="F77" s="15"/>
      <c r="G77" s="15"/>
      <c r="H77" s="15"/>
      <c r="I77" s="15"/>
      <c r="J77" s="15"/>
      <c r="K77" s="15"/>
      <c r="L77" s="15"/>
      <c r="M77" s="72"/>
      <c r="N77" s="72"/>
      <c r="O77" s="72"/>
      <c r="P77" s="72"/>
      <c r="Q77" s="73"/>
      <c r="R77" s="74"/>
    </row>
    <row r="78" spans="1:20" ht="7.15" customHeight="1" x14ac:dyDescent="0.25">
      <c r="A78" s="75"/>
      <c r="B78" s="76"/>
      <c r="C78" s="76"/>
      <c r="D78" s="77"/>
      <c r="E78" s="77"/>
      <c r="F78" s="77"/>
      <c r="G78" s="77"/>
      <c r="H78" s="77"/>
      <c r="I78" s="77"/>
      <c r="J78" s="77"/>
      <c r="K78" s="77"/>
      <c r="L78" s="77"/>
      <c r="M78" s="77"/>
      <c r="N78" s="77"/>
      <c r="O78" s="77"/>
      <c r="P78" s="77"/>
      <c r="Q78" s="75"/>
      <c r="R78" s="78"/>
      <c r="S78" s="75"/>
      <c r="T78" s="12"/>
    </row>
    <row r="79" spans="1:20" ht="7.35" customHeight="1" x14ac:dyDescent="0.25">
      <c r="B79" s="71"/>
      <c r="C79" s="71"/>
      <c r="D79" s="15"/>
      <c r="E79" s="15"/>
      <c r="F79" s="15"/>
      <c r="G79" s="15"/>
      <c r="H79" s="15"/>
      <c r="I79" s="15"/>
      <c r="J79" s="15"/>
      <c r="K79" s="15"/>
      <c r="L79" s="15"/>
      <c r="M79" s="15"/>
      <c r="N79" s="15"/>
      <c r="O79" s="15"/>
      <c r="P79" s="15"/>
      <c r="R79" s="74"/>
    </row>
    <row r="80" spans="1:20" ht="19.5" thickBot="1" x14ac:dyDescent="0.3">
      <c r="A80" s="37"/>
      <c r="B80" s="38" t="s">
        <v>92</v>
      </c>
      <c r="C80" s="38"/>
      <c r="D80" s="39" t="s">
        <v>1132</v>
      </c>
      <c r="E80" s="40"/>
      <c r="F80" s="40"/>
      <c r="G80" s="40"/>
      <c r="H80" s="40"/>
      <c r="I80" s="40"/>
      <c r="J80" s="40"/>
      <c r="K80" s="40"/>
      <c r="L80" s="40"/>
      <c r="M80" s="40"/>
      <c r="N80" s="40"/>
      <c r="O80" s="40"/>
      <c r="P80" s="40"/>
      <c r="Q80" s="37"/>
      <c r="R80" s="42"/>
      <c r="S80" s="37"/>
    </row>
    <row r="81" spans="2:20" x14ac:dyDescent="0.25">
      <c r="E81" s="54"/>
      <c r="F81" s="54"/>
      <c r="G81" s="54"/>
      <c r="H81" s="54"/>
      <c r="I81" s="54"/>
      <c r="J81" s="54"/>
      <c r="K81" s="54"/>
      <c r="L81" s="54"/>
      <c r="M81" s="54"/>
      <c r="N81" s="54"/>
      <c r="O81" s="54"/>
      <c r="P81" s="54"/>
      <c r="R81" s="80"/>
    </row>
    <row r="82" spans="2:20" ht="29.45" customHeight="1" x14ac:dyDescent="0.25">
      <c r="B82" s="15" t="s">
        <v>691</v>
      </c>
      <c r="D82" s="186" t="s">
        <v>865</v>
      </c>
      <c r="E82" s="186"/>
      <c r="F82" s="186"/>
      <c r="G82" s="186"/>
      <c r="H82" s="186"/>
      <c r="I82" s="186"/>
      <c r="J82" s="186"/>
      <c r="K82" s="186"/>
      <c r="L82" s="186"/>
      <c r="M82" s="186"/>
      <c r="N82" s="186"/>
      <c r="O82" s="186"/>
      <c r="P82" s="52"/>
      <c r="R82" s="67"/>
      <c r="T82" s="11" t="str">
        <f>IF(OR(AND(ISBLANK(R82),OR(PR.82.1="Yes",PR.82.2="Yes",PR.82.3="Yes",PR.82.4="Yes",PR.82.5="Yes",PR.82.6="Yes")),AND(AND(PR.82.1&lt;&gt;"Yes",PR.82.2&lt;&gt;"Yes",PR.82.3&lt;&gt;"Yes",PR.82.4&lt;&gt;"Yes",PR.82.5&lt;&gt;"Yes",PR.82.6&lt;&gt;"Yes"),NOT(ISBLANK(R82)))),"R","G")</f>
        <v>G</v>
      </c>
    </row>
    <row r="83" spans="2:20" x14ac:dyDescent="0.25">
      <c r="E83" s="54"/>
      <c r="F83" s="54"/>
      <c r="G83" s="54"/>
      <c r="H83" s="54"/>
      <c r="I83" s="54"/>
      <c r="J83" s="54"/>
      <c r="K83" s="54"/>
      <c r="L83" s="54"/>
      <c r="M83" s="54"/>
      <c r="N83" s="54"/>
      <c r="O83" s="54"/>
      <c r="P83" s="54"/>
      <c r="R83" s="80"/>
    </row>
    <row r="84" spans="2:20" ht="27.6" customHeight="1" x14ac:dyDescent="0.25">
      <c r="B84" s="15" t="s">
        <v>692</v>
      </c>
      <c r="D84" s="186" t="s">
        <v>866</v>
      </c>
      <c r="E84" s="186"/>
      <c r="F84" s="186"/>
      <c r="G84" s="186"/>
      <c r="H84" s="186"/>
      <c r="I84" s="186"/>
      <c r="J84" s="186"/>
      <c r="K84" s="186"/>
      <c r="L84" s="186"/>
      <c r="M84" s="186"/>
      <c r="N84" s="186"/>
      <c r="O84" s="186"/>
      <c r="P84" s="52"/>
      <c r="R84" s="67"/>
      <c r="T84" s="11" t="str">
        <f>IF(OR(AND(ISBLANK(R84),Payment="Yes"),AND(NOT(ISBLANK(R84)),Payment&lt;&gt;"Yes")),"R","G")</f>
        <v>G</v>
      </c>
    </row>
    <row r="85" spans="2:20" x14ac:dyDescent="0.25">
      <c r="E85" s="54"/>
      <c r="F85" s="54"/>
      <c r="G85" s="54"/>
      <c r="H85" s="54"/>
      <c r="I85" s="54"/>
      <c r="J85" s="54"/>
      <c r="K85" s="54"/>
      <c r="L85" s="54"/>
      <c r="M85" s="54"/>
      <c r="N85" s="54"/>
      <c r="O85" s="54"/>
      <c r="P85" s="54"/>
    </row>
    <row r="86" spans="2:20" x14ac:dyDescent="0.25">
      <c r="B86" s="15" t="s">
        <v>693</v>
      </c>
      <c r="D86" s="186" t="s">
        <v>867</v>
      </c>
      <c r="E86" s="186"/>
      <c r="F86" s="186"/>
      <c r="G86" s="186"/>
      <c r="H86" s="186"/>
      <c r="I86" s="186"/>
      <c r="J86" s="186"/>
      <c r="K86" s="186"/>
      <c r="L86" s="186"/>
      <c r="M86" s="186"/>
      <c r="N86" s="186"/>
      <c r="O86" s="186"/>
      <c r="P86" s="52"/>
      <c r="R86" s="81">
        <f>SUM(R87:R88)</f>
        <v>0</v>
      </c>
    </row>
    <row r="87" spans="2:20" x14ac:dyDescent="0.25">
      <c r="B87" s="15" t="s">
        <v>694</v>
      </c>
      <c r="E87" s="186" t="s">
        <v>862</v>
      </c>
      <c r="F87" s="186"/>
      <c r="G87" s="186"/>
      <c r="H87" s="186"/>
      <c r="I87" s="186"/>
      <c r="J87" s="186"/>
      <c r="K87" s="186"/>
      <c r="L87" s="186"/>
      <c r="M87" s="186"/>
      <c r="N87" s="186"/>
      <c r="O87" s="186"/>
      <c r="P87" s="52"/>
      <c r="R87" s="67"/>
      <c r="T87" s="11" t="str">
        <f>IF(OR(AND(ISBLANK(R87),OR(PR.133="Yes",PR.133="No")),AND(NOT(ISBLANK(R87)),AND(PR.133&lt;&gt;"Yes",PR.133&lt;&gt;"No"))),"R","G")</f>
        <v>G</v>
      </c>
    </row>
    <row r="88" spans="2:20" x14ac:dyDescent="0.25">
      <c r="B88" s="15" t="s">
        <v>695</v>
      </c>
      <c r="E88" s="186" t="s">
        <v>863</v>
      </c>
      <c r="F88" s="186"/>
      <c r="G88" s="186"/>
      <c r="H88" s="186"/>
      <c r="I88" s="186"/>
      <c r="J88" s="186"/>
      <c r="K88" s="186"/>
      <c r="L88" s="186"/>
      <c r="M88" s="186"/>
      <c r="N88" s="186"/>
      <c r="O88" s="186"/>
      <c r="P88" s="52"/>
      <c r="R88" s="67"/>
      <c r="T88" s="11" t="str">
        <f>IF(OR(AND(ISBLANK(R88),OR(PR.133="Yes",PR.133="No")),AND(NOT(ISBLANK(R88)),AND(PR.133&lt;&gt;"Yes",PR.133&lt;&gt;"No"))),"R","G")</f>
        <v>G</v>
      </c>
    </row>
    <row r="89" spans="2:20" x14ac:dyDescent="0.25">
      <c r="E89" s="54"/>
      <c r="F89" s="54"/>
      <c r="G89" s="54"/>
      <c r="H89" s="54"/>
      <c r="I89" s="54"/>
      <c r="J89" s="54"/>
      <c r="K89" s="54"/>
      <c r="L89" s="54"/>
      <c r="M89" s="54"/>
      <c r="N89" s="54"/>
      <c r="O89" s="54"/>
      <c r="P89" s="54"/>
    </row>
    <row r="90" spans="2:20" ht="15" customHeight="1" x14ac:dyDescent="0.25">
      <c r="B90" s="15" t="s">
        <v>696</v>
      </c>
      <c r="D90" s="186" t="s">
        <v>868</v>
      </c>
      <c r="E90" s="186"/>
      <c r="F90" s="186"/>
      <c r="G90" s="186"/>
      <c r="H90" s="186"/>
      <c r="I90" s="186"/>
      <c r="J90" s="186"/>
      <c r="K90" s="186"/>
      <c r="L90" s="186"/>
      <c r="M90" s="186"/>
      <c r="N90" s="186"/>
      <c r="O90" s="186"/>
      <c r="P90" s="52"/>
      <c r="R90" s="81">
        <f>SUM(R91:R92)</f>
        <v>0</v>
      </c>
    </row>
    <row r="91" spans="2:20" x14ac:dyDescent="0.25">
      <c r="B91" s="15" t="s">
        <v>697</v>
      </c>
      <c r="E91" s="186" t="s">
        <v>862</v>
      </c>
      <c r="F91" s="186"/>
      <c r="G91" s="186"/>
      <c r="H91" s="186"/>
      <c r="I91" s="186"/>
      <c r="J91" s="186"/>
      <c r="K91" s="186"/>
      <c r="L91" s="186"/>
      <c r="M91" s="186"/>
      <c r="N91" s="186"/>
      <c r="O91" s="186"/>
      <c r="P91" s="52"/>
      <c r="R91" s="67"/>
      <c r="T91" s="11" t="str">
        <f>IF(OR(AND(ISBLANK(R91),Payment="Yes"),AND(NOT(ISBLANK(R91)),Payment&lt;&gt;"Yes")),"R","G")</f>
        <v>G</v>
      </c>
    </row>
    <row r="92" spans="2:20" x14ac:dyDescent="0.25">
      <c r="B92" s="15" t="s">
        <v>698</v>
      </c>
      <c r="E92" s="186" t="s">
        <v>863</v>
      </c>
      <c r="F92" s="186"/>
      <c r="G92" s="186"/>
      <c r="H92" s="186"/>
      <c r="I92" s="186"/>
      <c r="J92" s="186"/>
      <c r="K92" s="186"/>
      <c r="L92" s="186"/>
      <c r="M92" s="186"/>
      <c r="N92" s="186"/>
      <c r="O92" s="186"/>
      <c r="P92" s="52"/>
      <c r="R92" s="67"/>
      <c r="T92" s="11" t="str">
        <f>IF(OR(AND(ISBLANK(R92),Payment="Yes"),AND(NOT(ISBLANK(R92)),Payment&lt;&gt;"Yes")),"R","G")</f>
        <v>G</v>
      </c>
    </row>
    <row r="93" spans="2:20" x14ac:dyDescent="0.25">
      <c r="E93" s="54"/>
      <c r="F93" s="54"/>
      <c r="G93" s="54"/>
      <c r="H93" s="54"/>
      <c r="I93" s="54"/>
      <c r="J93" s="54"/>
      <c r="K93" s="54"/>
      <c r="L93" s="54"/>
      <c r="M93" s="54"/>
      <c r="N93" s="54"/>
      <c r="O93" s="54"/>
      <c r="P93" s="54"/>
    </row>
    <row r="94" spans="2:20" x14ac:dyDescent="0.25">
      <c r="B94" s="15" t="s">
        <v>699</v>
      </c>
      <c r="D94" s="186" t="s">
        <v>869</v>
      </c>
      <c r="E94" s="186"/>
      <c r="F94" s="186"/>
      <c r="G94" s="186"/>
      <c r="H94" s="186"/>
      <c r="I94" s="186"/>
      <c r="J94" s="186"/>
      <c r="K94" s="186"/>
      <c r="L94" s="186"/>
      <c r="M94" s="186"/>
      <c r="N94" s="186"/>
      <c r="O94" s="186"/>
      <c r="P94" s="52"/>
      <c r="R94" s="67"/>
      <c r="T94" s="11" t="str">
        <f>IF(OR(AND(ISBLANK(R94),PR.104&gt;0),AND(NOT(ISBLANK(R94)),PR.104&lt;=0)),"R","G")</f>
        <v>G</v>
      </c>
    </row>
    <row r="95" spans="2:20" x14ac:dyDescent="0.25">
      <c r="E95" s="54"/>
      <c r="F95" s="54"/>
      <c r="G95" s="54"/>
      <c r="H95" s="54"/>
      <c r="I95" s="54"/>
      <c r="J95" s="54"/>
      <c r="K95" s="54"/>
      <c r="L95" s="54"/>
      <c r="M95" s="54"/>
      <c r="N95" s="54"/>
      <c r="O95" s="54"/>
      <c r="P95" s="54"/>
    </row>
    <row r="96" spans="2:20" ht="27" customHeight="1" x14ac:dyDescent="0.25">
      <c r="B96" s="15" t="s">
        <v>700</v>
      </c>
      <c r="D96" s="186" t="s">
        <v>1144</v>
      </c>
      <c r="E96" s="186"/>
      <c r="F96" s="186"/>
      <c r="G96" s="186"/>
      <c r="H96" s="186"/>
      <c r="I96" s="186"/>
      <c r="J96" s="186"/>
      <c r="K96" s="186"/>
      <c r="L96" s="186"/>
      <c r="M96" s="186"/>
      <c r="N96" s="186"/>
      <c r="O96" s="186"/>
      <c r="P96" s="52"/>
      <c r="R96" s="67"/>
      <c r="T96" s="11" t="str">
        <f>IF(OR(AND(ISBLANK(R96),PR.116="Yes"),AND(NOT(ISBLANK(R96)),PR.116&lt;&gt;"Yes")),"R","G")</f>
        <v>G</v>
      </c>
    </row>
    <row r="97" spans="1:20" x14ac:dyDescent="0.25">
      <c r="E97" s="54"/>
      <c r="F97" s="54"/>
      <c r="G97" s="54"/>
      <c r="H97" s="54"/>
      <c r="I97" s="54"/>
      <c r="J97" s="54"/>
      <c r="K97" s="54"/>
      <c r="L97" s="54"/>
      <c r="M97" s="54"/>
      <c r="N97" s="54"/>
      <c r="O97" s="54"/>
      <c r="P97" s="54"/>
    </row>
    <row r="98" spans="1:20" ht="15" customHeight="1" x14ac:dyDescent="0.25">
      <c r="B98" s="15" t="s">
        <v>701</v>
      </c>
      <c r="D98" s="186" t="s">
        <v>870</v>
      </c>
      <c r="E98" s="186"/>
      <c r="F98" s="186"/>
      <c r="G98" s="186"/>
      <c r="H98" s="186"/>
      <c r="I98" s="186"/>
      <c r="J98" s="186"/>
      <c r="K98" s="186"/>
      <c r="L98" s="186"/>
      <c r="M98" s="186"/>
      <c r="N98" s="186"/>
      <c r="O98" s="186"/>
      <c r="P98" s="52"/>
      <c r="R98" s="67"/>
      <c r="T98" s="11" t="str">
        <f>IF(OR(AND(ISBLANK(R98),PR.54&gt;0),AND(NOT(ISBLANK(R98)),PR.54&lt;=0)),"R","G")</f>
        <v>G</v>
      </c>
    </row>
    <row r="99" spans="1:20" x14ac:dyDescent="0.25">
      <c r="E99" s="54"/>
      <c r="F99" s="54"/>
      <c r="G99" s="54"/>
      <c r="H99" s="54"/>
      <c r="I99" s="54"/>
      <c r="J99" s="54"/>
      <c r="K99" s="54"/>
      <c r="L99" s="54"/>
      <c r="M99" s="54"/>
      <c r="N99" s="54"/>
      <c r="O99" s="54"/>
      <c r="P99" s="54"/>
    </row>
    <row r="100" spans="1:20" ht="35.25" customHeight="1" x14ac:dyDescent="0.25">
      <c r="B100" s="15" t="s">
        <v>702</v>
      </c>
      <c r="D100" s="186" t="s">
        <v>1269</v>
      </c>
      <c r="E100" s="186"/>
      <c r="F100" s="186"/>
      <c r="G100" s="186"/>
      <c r="H100" s="186"/>
      <c r="I100" s="186"/>
      <c r="J100" s="186"/>
      <c r="K100" s="186"/>
      <c r="L100" s="186"/>
      <c r="M100" s="186"/>
      <c r="N100" s="186"/>
      <c r="O100" s="186"/>
      <c r="P100" s="52"/>
      <c r="R100" s="67"/>
      <c r="T100" s="11" t="str">
        <f>IF(OR(AND(ISBLANK(R100),PR.54&gt;0),AND(NOT(ISBLANK(R100)),PR.54&lt;=0)),"R","G")</f>
        <v>G</v>
      </c>
    </row>
    <row r="101" spans="1:20" x14ac:dyDescent="0.25">
      <c r="E101" s="54"/>
      <c r="F101" s="54"/>
      <c r="G101" s="54"/>
      <c r="H101" s="54"/>
      <c r="I101" s="54"/>
      <c r="J101" s="54"/>
      <c r="K101" s="54"/>
      <c r="L101" s="54"/>
      <c r="M101" s="54"/>
      <c r="N101" s="54"/>
      <c r="O101" s="54"/>
      <c r="P101" s="54"/>
    </row>
    <row r="102" spans="1:20" ht="15" customHeight="1" x14ac:dyDescent="0.25">
      <c r="B102" s="15" t="s">
        <v>703</v>
      </c>
      <c r="D102" s="186" t="s">
        <v>871</v>
      </c>
      <c r="E102" s="186"/>
      <c r="F102" s="186"/>
      <c r="G102" s="186"/>
      <c r="H102" s="186"/>
      <c r="I102" s="186"/>
      <c r="J102" s="186"/>
      <c r="K102" s="186"/>
      <c r="L102" s="186"/>
      <c r="M102" s="186"/>
      <c r="N102" s="186"/>
      <c r="O102" s="186"/>
      <c r="P102" s="52"/>
      <c r="R102" s="97">
        <f>SUM(R103:R104)</f>
        <v>0</v>
      </c>
    </row>
    <row r="103" spans="1:20" x14ac:dyDescent="0.25">
      <c r="B103" s="15" t="s">
        <v>704</v>
      </c>
      <c r="E103" s="186" t="s">
        <v>872</v>
      </c>
      <c r="F103" s="186"/>
      <c r="G103" s="186"/>
      <c r="H103" s="186"/>
      <c r="I103" s="186"/>
      <c r="J103" s="186"/>
      <c r="K103" s="186"/>
      <c r="L103" s="186"/>
      <c r="M103" s="186"/>
      <c r="N103" s="186"/>
      <c r="O103" s="186"/>
      <c r="P103" s="52"/>
      <c r="R103" s="67"/>
      <c r="T103" s="11" t="str">
        <f>IF(OR(AND(ISBLANK(R103),PR.136&gt;0),AND(NOT(ISBLANK(R103)),PR.136&lt;=0)),"R","G")</f>
        <v>G</v>
      </c>
    </row>
    <row r="104" spans="1:20" ht="15" customHeight="1" x14ac:dyDescent="0.25">
      <c r="B104" s="15" t="s">
        <v>705</v>
      </c>
      <c r="E104" s="186" t="s">
        <v>873</v>
      </c>
      <c r="F104" s="186"/>
      <c r="G104" s="186"/>
      <c r="H104" s="186"/>
      <c r="I104" s="186"/>
      <c r="J104" s="186"/>
      <c r="K104" s="186"/>
      <c r="L104" s="186"/>
      <c r="M104" s="186"/>
      <c r="N104" s="186"/>
      <c r="O104" s="186"/>
      <c r="P104" s="52"/>
      <c r="R104" s="67"/>
      <c r="T104" s="11" t="str">
        <f>IF(OR(AND(ISBLANK(R104),PR.136&gt;0),AND(NOT(ISBLANK(R104)),PR.136&lt;=0)),"R","G")</f>
        <v>G</v>
      </c>
    </row>
    <row r="105" spans="1:20" x14ac:dyDescent="0.25">
      <c r="E105" s="54"/>
      <c r="F105" s="54"/>
      <c r="G105" s="54"/>
      <c r="H105" s="54"/>
      <c r="I105" s="54"/>
      <c r="J105" s="54"/>
      <c r="K105" s="54"/>
      <c r="L105" s="54"/>
      <c r="M105" s="54"/>
      <c r="N105" s="54"/>
      <c r="O105" s="54"/>
      <c r="P105" s="54"/>
    </row>
    <row r="106" spans="1:20" ht="36" customHeight="1" x14ac:dyDescent="0.25">
      <c r="B106" s="15" t="s">
        <v>706</v>
      </c>
      <c r="D106" s="186" t="s">
        <v>874</v>
      </c>
      <c r="E106" s="186"/>
      <c r="F106" s="186"/>
      <c r="G106" s="186"/>
      <c r="H106" s="186"/>
      <c r="I106" s="186"/>
      <c r="J106" s="186"/>
      <c r="K106" s="186"/>
      <c r="L106" s="186"/>
      <c r="M106" s="186"/>
      <c r="N106" s="186"/>
      <c r="O106" s="186"/>
      <c r="P106" s="52"/>
      <c r="R106" s="67"/>
      <c r="T106" s="11" t="str">
        <f>IF(OR(AND(ISBLANK(R106),PR.136&gt;0),AND(NOT(ISBLANK(R106)),PR.136&lt;=0)),"R","G")</f>
        <v>G</v>
      </c>
    </row>
    <row r="107" spans="1:20" x14ac:dyDescent="0.25">
      <c r="B107" s="34"/>
      <c r="C107" s="34"/>
      <c r="D107" s="15"/>
      <c r="E107" s="15"/>
      <c r="F107" s="15"/>
      <c r="G107" s="15"/>
      <c r="H107" s="15"/>
      <c r="I107" s="15"/>
      <c r="J107" s="15"/>
      <c r="K107" s="15"/>
      <c r="L107" s="15"/>
      <c r="M107" s="15"/>
      <c r="N107" s="15"/>
      <c r="O107" s="15"/>
      <c r="P107" s="15"/>
      <c r="R107" s="36"/>
    </row>
    <row r="108" spans="1:20" ht="7.35" customHeight="1" x14ac:dyDescent="0.25">
      <c r="B108" s="71"/>
      <c r="C108" s="71"/>
      <c r="D108" s="15"/>
      <c r="E108" s="15"/>
      <c r="F108" s="15"/>
      <c r="G108" s="15"/>
      <c r="H108" s="15"/>
      <c r="I108" s="15"/>
      <c r="J108" s="15"/>
      <c r="K108" s="15"/>
      <c r="L108" s="15"/>
      <c r="M108" s="72"/>
      <c r="N108" s="72"/>
      <c r="O108" s="72"/>
      <c r="P108" s="72"/>
      <c r="Q108" s="73"/>
      <c r="R108" s="74"/>
    </row>
    <row r="109" spans="1:20" ht="7.15" customHeight="1" x14ac:dyDescent="0.25">
      <c r="A109" s="75"/>
      <c r="B109" s="76"/>
      <c r="C109" s="76"/>
      <c r="D109" s="77"/>
      <c r="E109" s="77"/>
      <c r="F109" s="77"/>
      <c r="G109" s="77"/>
      <c r="H109" s="77"/>
      <c r="I109" s="77"/>
      <c r="J109" s="77"/>
      <c r="K109" s="77"/>
      <c r="L109" s="77"/>
      <c r="M109" s="77"/>
      <c r="N109" s="77"/>
      <c r="O109" s="77"/>
      <c r="P109" s="77"/>
      <c r="Q109" s="75"/>
      <c r="R109" s="78"/>
      <c r="S109" s="75"/>
      <c r="T109" s="12"/>
    </row>
    <row r="110" spans="1:20" ht="7.35" customHeight="1" x14ac:dyDescent="0.25">
      <c r="B110" s="71"/>
      <c r="C110" s="71"/>
      <c r="D110" s="15"/>
      <c r="E110" s="15"/>
      <c r="F110" s="15"/>
      <c r="G110" s="15"/>
      <c r="H110" s="15"/>
      <c r="I110" s="15"/>
      <c r="J110" s="15"/>
      <c r="K110" s="15"/>
      <c r="L110" s="15"/>
      <c r="M110" s="15"/>
      <c r="N110" s="15"/>
      <c r="O110" s="15"/>
      <c r="P110" s="15"/>
      <c r="R110" s="74"/>
    </row>
    <row r="111" spans="1:20" ht="19.5" thickBot="1" x14ac:dyDescent="0.3">
      <c r="A111" s="37"/>
      <c r="B111" s="38" t="s">
        <v>100</v>
      </c>
      <c r="C111" s="38"/>
      <c r="D111" s="39" t="s">
        <v>1133</v>
      </c>
      <c r="E111" s="40"/>
      <c r="F111" s="40"/>
      <c r="G111" s="40"/>
      <c r="H111" s="40"/>
      <c r="I111" s="40"/>
      <c r="J111" s="40"/>
      <c r="K111" s="40"/>
      <c r="L111" s="40"/>
      <c r="M111" s="40"/>
      <c r="N111" s="40"/>
      <c r="O111" s="40"/>
      <c r="P111" s="40"/>
      <c r="Q111" s="37"/>
      <c r="R111" s="42"/>
      <c r="S111" s="37"/>
    </row>
    <row r="112" spans="1:20" x14ac:dyDescent="0.25">
      <c r="E112" s="54"/>
      <c r="F112" s="54"/>
      <c r="G112" s="54"/>
      <c r="H112" s="54"/>
      <c r="I112" s="54"/>
      <c r="J112" s="54"/>
      <c r="K112" s="54"/>
      <c r="L112" s="54"/>
      <c r="M112" s="54"/>
      <c r="N112" s="54"/>
      <c r="O112" s="54"/>
      <c r="P112" s="54"/>
    </row>
    <row r="113" spans="1:20" x14ac:dyDescent="0.25">
      <c r="B113" s="15" t="s">
        <v>707</v>
      </c>
      <c r="D113" s="186" t="s">
        <v>875</v>
      </c>
      <c r="E113" s="186"/>
      <c r="F113" s="186"/>
      <c r="G113" s="186"/>
      <c r="H113" s="186"/>
      <c r="I113" s="186"/>
      <c r="J113" s="186"/>
      <c r="K113" s="186"/>
      <c r="L113" s="186"/>
      <c r="M113" s="186"/>
      <c r="N113" s="186"/>
      <c r="O113" s="186"/>
      <c r="P113" s="52"/>
      <c r="R113" s="97">
        <f>SUM(R114:R115)</f>
        <v>0</v>
      </c>
    </row>
    <row r="114" spans="1:20" x14ac:dyDescent="0.25">
      <c r="B114" s="15" t="s">
        <v>708</v>
      </c>
      <c r="E114" s="186" t="s">
        <v>862</v>
      </c>
      <c r="F114" s="186"/>
      <c r="G114" s="186"/>
      <c r="H114" s="186"/>
      <c r="I114" s="186"/>
      <c r="J114" s="186"/>
      <c r="K114" s="186"/>
      <c r="L114" s="186"/>
      <c r="M114" s="186"/>
      <c r="N114" s="186"/>
      <c r="O114" s="186"/>
      <c r="P114" s="52"/>
      <c r="R114" s="67"/>
      <c r="T114" s="11" t="str">
        <f>IF(OR(AND(ISBLANK(R114),Emoney="Yes"),AND(NOT(ISBLANK(R114)),Emoney&lt;&gt;"Yes")),"R","G")</f>
        <v>G</v>
      </c>
    </row>
    <row r="115" spans="1:20" ht="15" customHeight="1" x14ac:dyDescent="0.25">
      <c r="B115" s="15" t="s">
        <v>709</v>
      </c>
      <c r="E115" s="186" t="s">
        <v>863</v>
      </c>
      <c r="F115" s="186"/>
      <c r="G115" s="186"/>
      <c r="H115" s="186"/>
      <c r="I115" s="186"/>
      <c r="J115" s="186"/>
      <c r="K115" s="186"/>
      <c r="L115" s="186"/>
      <c r="M115" s="186"/>
      <c r="N115" s="186"/>
      <c r="O115" s="186"/>
      <c r="P115" s="52"/>
      <c r="R115" s="67"/>
      <c r="T115" s="11" t="str">
        <f>IF(OR(AND(ISBLANK(R115),Emoney="Yes"),AND(NOT(ISBLANK(R115)),Emoney&lt;&gt;"Yes")),"R","G")</f>
        <v>G</v>
      </c>
    </row>
    <row r="116" spans="1:20" x14ac:dyDescent="0.25">
      <c r="B116" s="34"/>
      <c r="C116" s="34"/>
      <c r="D116" s="15"/>
      <c r="E116" s="15"/>
      <c r="F116" s="15"/>
      <c r="G116" s="15"/>
      <c r="H116" s="15"/>
      <c r="I116" s="15"/>
      <c r="J116" s="15"/>
      <c r="K116" s="15"/>
      <c r="L116" s="15"/>
      <c r="M116" s="15"/>
      <c r="N116" s="15"/>
      <c r="O116" s="15"/>
      <c r="P116" s="15"/>
      <c r="R116" s="36"/>
    </row>
    <row r="117" spans="1:20" ht="7.35" customHeight="1" x14ac:dyDescent="0.25">
      <c r="B117" s="71"/>
      <c r="C117" s="71"/>
      <c r="D117" s="15"/>
      <c r="E117" s="15"/>
      <c r="F117" s="15"/>
      <c r="G117" s="15"/>
      <c r="H117" s="15"/>
      <c r="I117" s="15"/>
      <c r="J117" s="15"/>
      <c r="K117" s="15"/>
      <c r="L117" s="15"/>
      <c r="M117" s="72"/>
      <c r="N117" s="72"/>
      <c r="O117" s="72"/>
      <c r="P117" s="72"/>
      <c r="Q117" s="73"/>
      <c r="R117" s="74"/>
    </row>
    <row r="118" spans="1:20" ht="7.15" customHeight="1" x14ac:dyDescent="0.25">
      <c r="A118" s="75"/>
      <c r="B118" s="76"/>
      <c r="C118" s="76"/>
      <c r="D118" s="77"/>
      <c r="E118" s="77"/>
      <c r="F118" s="77"/>
      <c r="G118" s="77"/>
      <c r="H118" s="77"/>
      <c r="I118" s="77"/>
      <c r="J118" s="77"/>
      <c r="K118" s="77"/>
      <c r="L118" s="77"/>
      <c r="M118" s="77"/>
      <c r="N118" s="77"/>
      <c r="O118" s="77"/>
      <c r="P118" s="77"/>
      <c r="Q118" s="75"/>
      <c r="R118" s="78"/>
      <c r="S118" s="75"/>
      <c r="T118" s="12"/>
    </row>
    <row r="119" spans="1:20" ht="7.35" customHeight="1" x14ac:dyDescent="0.25">
      <c r="B119" s="71"/>
      <c r="C119" s="71"/>
      <c r="D119" s="15"/>
      <c r="E119" s="15"/>
      <c r="F119" s="15"/>
      <c r="G119" s="15"/>
      <c r="H119" s="15"/>
      <c r="I119" s="15"/>
      <c r="J119" s="15"/>
      <c r="K119" s="15"/>
      <c r="L119" s="15"/>
      <c r="M119" s="15"/>
      <c r="N119" s="15"/>
      <c r="O119" s="15"/>
      <c r="P119" s="15"/>
      <c r="R119" s="74"/>
    </row>
    <row r="120" spans="1:20" ht="19.5" thickBot="1" x14ac:dyDescent="0.3">
      <c r="A120" s="37"/>
      <c r="B120" s="38" t="s">
        <v>137</v>
      </c>
      <c r="C120" s="38"/>
      <c r="D120" s="39" t="s">
        <v>1134</v>
      </c>
      <c r="E120" s="40"/>
      <c r="F120" s="40"/>
      <c r="G120" s="40"/>
      <c r="H120" s="40"/>
      <c r="I120" s="40"/>
      <c r="J120" s="40"/>
      <c r="K120" s="40"/>
      <c r="L120" s="40"/>
      <c r="M120" s="40"/>
      <c r="N120" s="40"/>
      <c r="O120" s="40"/>
      <c r="P120" s="40"/>
      <c r="Q120" s="37"/>
      <c r="R120" s="42"/>
      <c r="S120" s="37"/>
    </row>
    <row r="121" spans="1:20" x14ac:dyDescent="0.25">
      <c r="E121" s="54"/>
      <c r="F121" s="54"/>
      <c r="G121" s="54"/>
      <c r="H121" s="54"/>
      <c r="I121" s="54"/>
      <c r="J121" s="54"/>
      <c r="K121" s="54"/>
      <c r="L121" s="54"/>
      <c r="M121" s="54"/>
      <c r="N121" s="54"/>
      <c r="O121" s="54"/>
      <c r="P121" s="54"/>
    </row>
    <row r="122" spans="1:20" x14ac:dyDescent="0.25">
      <c r="B122" s="15" t="s">
        <v>710</v>
      </c>
      <c r="D122" s="186" t="s">
        <v>876</v>
      </c>
      <c r="E122" s="186"/>
      <c r="F122" s="186"/>
      <c r="G122" s="186"/>
      <c r="H122" s="186"/>
      <c r="I122" s="186"/>
      <c r="J122" s="186"/>
      <c r="K122" s="186"/>
      <c r="L122" s="186"/>
      <c r="M122" s="186"/>
      <c r="N122" s="186"/>
      <c r="O122" s="186"/>
      <c r="P122" s="52"/>
      <c r="R122" s="97">
        <f>SUM(R123:R124)</f>
        <v>0</v>
      </c>
    </row>
    <row r="123" spans="1:20" x14ac:dyDescent="0.25">
      <c r="A123" s="11"/>
      <c r="B123" s="15" t="s">
        <v>711</v>
      </c>
      <c r="E123" s="186" t="s">
        <v>862</v>
      </c>
      <c r="F123" s="186"/>
      <c r="G123" s="186"/>
      <c r="H123" s="186"/>
      <c r="I123" s="186"/>
      <c r="J123" s="186"/>
      <c r="K123" s="186"/>
      <c r="L123" s="186"/>
      <c r="M123" s="186"/>
      <c r="N123" s="186"/>
      <c r="O123" s="186"/>
      <c r="P123" s="52"/>
      <c r="R123" s="67"/>
      <c r="T123" s="11" t="str">
        <f>IF(OR(AND(ISBLANK(R123),FinancialLeasing="Yes"),AND(NOT(ISBLANK(R123)),FinancialLeasing&lt;&gt;"Yes")),"R","G")</f>
        <v>G</v>
      </c>
    </row>
    <row r="124" spans="1:20" x14ac:dyDescent="0.25">
      <c r="A124" s="11"/>
      <c r="B124" s="15" t="s">
        <v>712</v>
      </c>
      <c r="E124" s="186" t="s">
        <v>863</v>
      </c>
      <c r="F124" s="186"/>
      <c r="G124" s="186"/>
      <c r="H124" s="186"/>
      <c r="I124" s="186"/>
      <c r="J124" s="186"/>
      <c r="K124" s="186"/>
      <c r="L124" s="186"/>
      <c r="M124" s="186"/>
      <c r="N124" s="186"/>
      <c r="O124" s="186"/>
      <c r="P124" s="52"/>
      <c r="R124" s="67"/>
      <c r="T124" s="11" t="str">
        <f>IF(OR(AND(ISBLANK(R124),FinancialLeasing="Yes"),AND(NOT(ISBLANK(R124)),FinancialLeasing&lt;&gt;"Yes")),"R","G")</f>
        <v>G</v>
      </c>
    </row>
    <row r="125" spans="1:20" x14ac:dyDescent="0.25">
      <c r="B125" s="34"/>
      <c r="C125" s="34"/>
      <c r="D125" s="15"/>
      <c r="E125" s="15"/>
      <c r="F125" s="15"/>
      <c r="G125" s="15"/>
      <c r="H125" s="15"/>
      <c r="I125" s="15"/>
      <c r="J125" s="15"/>
      <c r="K125" s="15"/>
      <c r="L125" s="15"/>
      <c r="M125" s="15"/>
      <c r="N125" s="15"/>
      <c r="O125" s="15"/>
      <c r="P125" s="15"/>
      <c r="R125" s="36"/>
    </row>
    <row r="126" spans="1:20" ht="7.35" customHeight="1" x14ac:dyDescent="0.25">
      <c r="B126" s="71"/>
      <c r="C126" s="71"/>
      <c r="D126" s="15"/>
      <c r="E126" s="15"/>
      <c r="F126" s="15"/>
      <c r="G126" s="15"/>
      <c r="H126" s="15"/>
      <c r="I126" s="15"/>
      <c r="J126" s="15"/>
      <c r="K126" s="15"/>
      <c r="L126" s="15"/>
      <c r="M126" s="72"/>
      <c r="N126" s="72"/>
      <c r="O126" s="72"/>
      <c r="P126" s="72"/>
      <c r="Q126" s="73"/>
      <c r="R126" s="74"/>
    </row>
    <row r="127" spans="1:20" ht="7.15" customHeight="1" x14ac:dyDescent="0.25">
      <c r="A127" s="75"/>
      <c r="B127" s="76"/>
      <c r="C127" s="76"/>
      <c r="D127" s="77"/>
      <c r="E127" s="77"/>
      <c r="F127" s="77"/>
      <c r="G127" s="77"/>
      <c r="H127" s="77"/>
      <c r="I127" s="77"/>
      <c r="J127" s="77"/>
      <c r="K127" s="77"/>
      <c r="L127" s="77"/>
      <c r="M127" s="77"/>
      <c r="N127" s="77"/>
      <c r="O127" s="77"/>
      <c r="P127" s="77"/>
      <c r="Q127" s="75"/>
      <c r="R127" s="78"/>
      <c r="S127" s="75"/>
      <c r="T127" s="12"/>
    </row>
    <row r="128" spans="1:20" ht="7.35" customHeight="1" x14ac:dyDescent="0.25">
      <c r="B128" s="71"/>
      <c r="C128" s="71"/>
      <c r="D128" s="15"/>
      <c r="E128" s="15"/>
      <c r="F128" s="15"/>
      <c r="G128" s="15"/>
      <c r="H128" s="15"/>
      <c r="I128" s="15"/>
      <c r="J128" s="15"/>
      <c r="K128" s="15"/>
      <c r="L128" s="15"/>
      <c r="M128" s="15"/>
      <c r="N128" s="15"/>
      <c r="O128" s="15"/>
      <c r="P128" s="15"/>
      <c r="R128" s="74"/>
    </row>
    <row r="129" spans="1:20" ht="19.5" thickBot="1" x14ac:dyDescent="0.3">
      <c r="A129" s="37"/>
      <c r="B129" s="38" t="s">
        <v>153</v>
      </c>
      <c r="C129" s="38"/>
      <c r="D129" s="39" t="s">
        <v>1135</v>
      </c>
      <c r="E129" s="40"/>
      <c r="F129" s="40"/>
      <c r="G129" s="40"/>
      <c r="H129" s="40"/>
      <c r="I129" s="40"/>
      <c r="J129" s="40"/>
      <c r="K129" s="40"/>
      <c r="L129" s="40"/>
      <c r="M129" s="40"/>
      <c r="N129" s="40"/>
      <c r="O129" s="40"/>
      <c r="P129" s="40"/>
      <c r="Q129" s="37"/>
      <c r="R129" s="42"/>
      <c r="S129" s="37"/>
    </row>
    <row r="130" spans="1:20" x14ac:dyDescent="0.25">
      <c r="E130" s="54"/>
      <c r="F130" s="54"/>
      <c r="G130" s="54"/>
      <c r="H130" s="54"/>
      <c r="I130" s="54"/>
      <c r="J130" s="54"/>
      <c r="K130" s="54"/>
      <c r="L130" s="54"/>
      <c r="M130" s="54"/>
      <c r="N130" s="54"/>
      <c r="O130" s="54"/>
      <c r="P130" s="54"/>
    </row>
    <row r="131" spans="1:20" x14ac:dyDescent="0.25">
      <c r="A131" s="11"/>
      <c r="B131" s="15" t="s">
        <v>713</v>
      </c>
      <c r="D131" s="186" t="s">
        <v>877</v>
      </c>
      <c r="E131" s="186"/>
      <c r="F131" s="186"/>
      <c r="G131" s="186"/>
      <c r="H131" s="186"/>
      <c r="I131" s="186"/>
      <c r="J131" s="186"/>
      <c r="K131" s="186"/>
      <c r="L131" s="186"/>
      <c r="M131" s="186"/>
      <c r="N131" s="186"/>
      <c r="O131" s="186"/>
      <c r="P131" s="52"/>
      <c r="Q131" s="36"/>
      <c r="R131" s="97">
        <f>SUM(R132:R133)</f>
        <v>0</v>
      </c>
    </row>
    <row r="132" spans="1:20" x14ac:dyDescent="0.25">
      <c r="B132" s="15" t="s">
        <v>714</v>
      </c>
      <c r="E132" s="186" t="s">
        <v>862</v>
      </c>
      <c r="F132" s="186"/>
      <c r="G132" s="186"/>
      <c r="H132" s="186"/>
      <c r="I132" s="186"/>
      <c r="J132" s="186"/>
      <c r="K132" s="186"/>
      <c r="L132" s="186"/>
      <c r="M132" s="186"/>
      <c r="N132" s="186"/>
      <c r="O132" s="186"/>
      <c r="P132" s="52"/>
      <c r="Q132" s="52"/>
      <c r="R132" s="67"/>
      <c r="T132" s="11" t="str">
        <f>IF(OR(AND(ISBLANK(R132),Guarantees="Yes"),AND(NOT(ISBLANK(R132)),Guarantees&lt;&gt;"Yes")),"R","G")</f>
        <v>G</v>
      </c>
    </row>
    <row r="133" spans="1:20" ht="15" customHeight="1" x14ac:dyDescent="0.25">
      <c r="B133" s="15" t="s">
        <v>715</v>
      </c>
      <c r="E133" s="186" t="s">
        <v>863</v>
      </c>
      <c r="F133" s="186"/>
      <c r="G133" s="186"/>
      <c r="H133" s="186"/>
      <c r="I133" s="186"/>
      <c r="J133" s="186"/>
      <c r="K133" s="186"/>
      <c r="L133" s="186"/>
      <c r="M133" s="186"/>
      <c r="N133" s="186"/>
      <c r="O133" s="186"/>
      <c r="P133" s="52"/>
      <c r="R133" s="67"/>
      <c r="T133" s="11" t="str">
        <f>IF(OR(AND(ISBLANK(R133),Guarantees="Yes"),AND(NOT(ISBLANK(R133)),Guarantees&lt;&gt;"Yes")),"R","G")</f>
        <v>G</v>
      </c>
    </row>
    <row r="134" spans="1:20" x14ac:dyDescent="0.25">
      <c r="B134" s="34"/>
      <c r="C134" s="34"/>
      <c r="D134" s="15"/>
      <c r="E134" s="15"/>
      <c r="F134" s="15"/>
      <c r="G134" s="15"/>
      <c r="H134" s="15"/>
      <c r="I134" s="15"/>
      <c r="J134" s="15"/>
      <c r="K134" s="15"/>
      <c r="L134" s="15"/>
      <c r="M134" s="15"/>
      <c r="N134" s="15"/>
      <c r="O134" s="15"/>
      <c r="P134" s="15"/>
      <c r="R134" s="36"/>
    </row>
    <row r="135" spans="1:20" ht="7.35" customHeight="1" x14ac:dyDescent="0.25">
      <c r="B135" s="71"/>
      <c r="C135" s="71"/>
      <c r="D135" s="15"/>
      <c r="E135" s="15"/>
      <c r="F135" s="15"/>
      <c r="G135" s="15"/>
      <c r="H135" s="15"/>
      <c r="I135" s="15"/>
      <c r="J135" s="15"/>
      <c r="K135" s="15"/>
      <c r="L135" s="15"/>
      <c r="M135" s="72"/>
      <c r="N135" s="72"/>
      <c r="O135" s="72"/>
      <c r="P135" s="72"/>
      <c r="Q135" s="73"/>
      <c r="R135" s="74"/>
    </row>
    <row r="136" spans="1:20" ht="7.15" customHeight="1" x14ac:dyDescent="0.25">
      <c r="A136" s="75"/>
      <c r="B136" s="76"/>
      <c r="C136" s="76"/>
      <c r="D136" s="77"/>
      <c r="E136" s="77"/>
      <c r="F136" s="77"/>
      <c r="G136" s="77"/>
      <c r="H136" s="77"/>
      <c r="I136" s="77"/>
      <c r="J136" s="77"/>
      <c r="K136" s="77"/>
      <c r="L136" s="77"/>
      <c r="M136" s="77"/>
      <c r="N136" s="77"/>
      <c r="O136" s="77"/>
      <c r="P136" s="77"/>
      <c r="Q136" s="75"/>
      <c r="R136" s="78"/>
      <c r="S136" s="75"/>
      <c r="T136" s="12"/>
    </row>
    <row r="137" spans="1:20" ht="7.35" customHeight="1" x14ac:dyDescent="0.25">
      <c r="B137" s="71"/>
      <c r="C137" s="71"/>
      <c r="D137" s="15"/>
      <c r="E137" s="15"/>
      <c r="F137" s="15"/>
      <c r="G137" s="15"/>
      <c r="H137" s="15"/>
      <c r="I137" s="15"/>
      <c r="J137" s="15"/>
      <c r="K137" s="15"/>
      <c r="L137" s="15"/>
      <c r="M137" s="15"/>
      <c r="N137" s="15"/>
      <c r="O137" s="15"/>
      <c r="P137" s="15"/>
      <c r="R137" s="74"/>
    </row>
    <row r="138" spans="1:20" ht="19.5" thickBot="1" x14ac:dyDescent="0.3">
      <c r="A138" s="37"/>
      <c r="B138" s="38" t="s">
        <v>184</v>
      </c>
      <c r="C138" s="38"/>
      <c r="D138" s="39" t="s">
        <v>1136</v>
      </c>
      <c r="E138" s="40"/>
      <c r="F138" s="40"/>
      <c r="G138" s="40"/>
      <c r="H138" s="40"/>
      <c r="I138" s="40"/>
      <c r="J138" s="40"/>
      <c r="K138" s="40"/>
      <c r="L138" s="40"/>
      <c r="M138" s="40"/>
      <c r="N138" s="40"/>
      <c r="O138" s="40"/>
      <c r="P138" s="40"/>
      <c r="Q138" s="37"/>
      <c r="R138" s="42"/>
      <c r="S138" s="37"/>
    </row>
    <row r="139" spans="1:20" x14ac:dyDescent="0.25">
      <c r="E139" s="54"/>
      <c r="F139" s="54"/>
      <c r="G139" s="54"/>
      <c r="H139" s="54"/>
      <c r="I139" s="54"/>
      <c r="J139" s="54"/>
      <c r="K139" s="54"/>
      <c r="L139" s="54"/>
      <c r="M139" s="54"/>
      <c r="N139" s="54"/>
      <c r="O139" s="54"/>
      <c r="P139" s="54"/>
    </row>
    <row r="140" spans="1:20" ht="30.95" customHeight="1" x14ac:dyDescent="0.25">
      <c r="D140" s="184" t="s">
        <v>1055</v>
      </c>
      <c r="E140" s="184"/>
      <c r="F140" s="184"/>
      <c r="G140" s="184"/>
      <c r="H140" s="184"/>
      <c r="I140" s="184"/>
      <c r="J140" s="184"/>
      <c r="K140" s="184"/>
      <c r="L140" s="184"/>
      <c r="M140" s="184"/>
      <c r="N140" s="184"/>
      <c r="O140" s="184"/>
      <c r="P140" s="54"/>
    </row>
    <row r="141" spans="1:20" ht="16.5" customHeight="1" x14ac:dyDescent="0.25">
      <c r="B141" s="15" t="s">
        <v>717</v>
      </c>
      <c r="E141" s="186" t="s">
        <v>1027</v>
      </c>
      <c r="F141" s="186"/>
      <c r="G141" s="186"/>
      <c r="H141" s="186"/>
      <c r="I141" s="186"/>
      <c r="J141" s="186"/>
      <c r="K141" s="186"/>
      <c r="L141" s="186"/>
      <c r="M141" s="186"/>
      <c r="N141" s="186"/>
      <c r="O141" s="186"/>
      <c r="P141" s="52"/>
    </row>
    <row r="142" spans="1:20" ht="15" customHeight="1" x14ac:dyDescent="0.25">
      <c r="B142" s="15" t="s">
        <v>718</v>
      </c>
      <c r="F142" s="44"/>
      <c r="G142" s="186" t="s">
        <v>862</v>
      </c>
      <c r="H142" s="186"/>
      <c r="I142" s="186"/>
      <c r="J142" s="186"/>
      <c r="K142" s="186"/>
      <c r="L142" s="186"/>
      <c r="M142" s="186"/>
      <c r="N142" s="186"/>
      <c r="O142" s="186"/>
      <c r="P142" s="52"/>
      <c r="R142" s="67"/>
      <c r="T142" s="11" t="str">
        <f>IF(OR(AND(ISBLANK(R142),Lending="Yes"),AND(NOT(ISBLANK(R142)),Lending&lt;&gt;"Yes")),"R","G")</f>
        <v>G</v>
      </c>
    </row>
    <row r="143" spans="1:20" ht="15" customHeight="1" x14ac:dyDescent="0.25">
      <c r="B143" s="15" t="s">
        <v>719</v>
      </c>
      <c r="F143" s="44"/>
      <c r="G143" s="186" t="s">
        <v>863</v>
      </c>
      <c r="H143" s="186"/>
      <c r="I143" s="186"/>
      <c r="J143" s="186"/>
      <c r="K143" s="186"/>
      <c r="L143" s="186"/>
      <c r="M143" s="186"/>
      <c r="N143" s="186"/>
      <c r="O143" s="186"/>
      <c r="P143" s="52"/>
      <c r="R143" s="67"/>
      <c r="T143" s="11" t="str">
        <f>IF(OR(AND(ISBLANK(R143),Lending="Yes"),AND(NOT(ISBLANK(R143)),Lending&lt;&gt;"Yes")),"R","G")</f>
        <v>G</v>
      </c>
    </row>
    <row r="144" spans="1:20" x14ac:dyDescent="0.25">
      <c r="B144" s="15" t="s">
        <v>720</v>
      </c>
      <c r="E144" s="186" t="s">
        <v>842</v>
      </c>
      <c r="F144" s="186"/>
      <c r="G144" s="186"/>
      <c r="H144" s="186"/>
      <c r="I144" s="186"/>
      <c r="J144" s="186"/>
      <c r="K144" s="186"/>
      <c r="L144" s="186"/>
      <c r="M144" s="186"/>
      <c r="N144" s="186"/>
      <c r="O144" s="186"/>
      <c r="P144" s="52"/>
      <c r="Q144" s="52"/>
    </row>
    <row r="145" spans="1:21" ht="15" customHeight="1" x14ac:dyDescent="0.25">
      <c r="B145" s="15" t="s">
        <v>721</v>
      </c>
      <c r="E145" s="44"/>
      <c r="F145" s="44"/>
      <c r="G145" s="186" t="s">
        <v>862</v>
      </c>
      <c r="H145" s="186"/>
      <c r="I145" s="186"/>
      <c r="J145" s="186"/>
      <c r="K145" s="186"/>
      <c r="L145" s="186"/>
      <c r="M145" s="186"/>
      <c r="N145" s="186"/>
      <c r="O145" s="186"/>
      <c r="P145" s="52"/>
      <c r="Q145" s="52"/>
      <c r="R145" s="67"/>
      <c r="T145" s="11" t="str">
        <f>IF(OR(AND(ISBLANK(R145),Lending="Yes"),AND(NOT(ISBLANK(R145)),Lending&lt;&gt;"Yes")),"R","G")</f>
        <v>G</v>
      </c>
    </row>
    <row r="146" spans="1:21" s="44" customFormat="1" ht="15" customHeight="1" x14ac:dyDescent="0.25">
      <c r="A146" s="10"/>
      <c r="B146" s="15" t="s">
        <v>722</v>
      </c>
      <c r="C146" s="15"/>
      <c r="D146" s="34"/>
      <c r="G146" s="186" t="s">
        <v>863</v>
      </c>
      <c r="H146" s="186"/>
      <c r="I146" s="186"/>
      <c r="J146" s="186"/>
      <c r="K146" s="186"/>
      <c r="L146" s="186"/>
      <c r="M146" s="186"/>
      <c r="N146" s="186"/>
      <c r="O146" s="186"/>
      <c r="P146" s="52"/>
      <c r="R146" s="67"/>
      <c r="S146" s="10"/>
      <c r="T146" s="11" t="str">
        <f>IF(OR(AND(ISBLANK(R146),Lending="Yes"),AND(NOT(ISBLANK(R146)),Lending&lt;&gt;"Yes")),"R","G")</f>
        <v>G</v>
      </c>
      <c r="U146" s="22"/>
    </row>
    <row r="147" spans="1:21" x14ac:dyDescent="0.25">
      <c r="B147" s="15" t="s">
        <v>723</v>
      </c>
      <c r="E147" s="186" t="s">
        <v>1050</v>
      </c>
      <c r="F147" s="186"/>
      <c r="G147" s="186"/>
      <c r="H147" s="186"/>
      <c r="I147" s="186"/>
      <c r="J147" s="186"/>
      <c r="K147" s="186"/>
      <c r="L147" s="186"/>
      <c r="M147" s="186"/>
      <c r="N147" s="186"/>
      <c r="O147" s="186"/>
      <c r="P147" s="52"/>
    </row>
    <row r="148" spans="1:21" ht="15" customHeight="1" x14ac:dyDescent="0.25">
      <c r="B148" s="15" t="s">
        <v>724</v>
      </c>
      <c r="E148" s="44"/>
      <c r="F148" s="44"/>
      <c r="G148" s="186" t="s">
        <v>862</v>
      </c>
      <c r="H148" s="186"/>
      <c r="I148" s="186"/>
      <c r="J148" s="186"/>
      <c r="K148" s="186"/>
      <c r="L148" s="186"/>
      <c r="M148" s="186"/>
      <c r="N148" s="186"/>
      <c r="O148" s="186"/>
      <c r="P148" s="52"/>
      <c r="R148" s="67"/>
      <c r="T148" s="11" t="str">
        <f>IF(OR(AND(ISBLANK(R148),Lending="Yes"),AND(NOT(ISBLANK(R148)),Lending&lt;&gt;"Yes")),"R","G")</f>
        <v>G</v>
      </c>
    </row>
    <row r="149" spans="1:21" ht="15" customHeight="1" x14ac:dyDescent="0.25">
      <c r="B149" s="15" t="s">
        <v>1308</v>
      </c>
      <c r="E149" s="44"/>
      <c r="F149" s="44"/>
      <c r="G149" s="186" t="s">
        <v>863</v>
      </c>
      <c r="H149" s="186"/>
      <c r="I149" s="186"/>
      <c r="J149" s="186"/>
      <c r="K149" s="186"/>
      <c r="L149" s="186"/>
      <c r="M149" s="186"/>
      <c r="N149" s="186"/>
      <c r="O149" s="186"/>
      <c r="P149" s="52"/>
      <c r="R149" s="67"/>
      <c r="T149" s="11" t="str">
        <f>IF(OR(AND(ISBLANK(R149),Lending="Yes"),AND(NOT(ISBLANK(R149)),Lending&lt;&gt;"Yes")),"R","G")</f>
        <v>G</v>
      </c>
    </row>
    <row r="150" spans="1:21" x14ac:dyDescent="0.25">
      <c r="B150" s="15" t="s">
        <v>1309</v>
      </c>
      <c r="E150" s="186" t="s">
        <v>1051</v>
      </c>
      <c r="F150" s="186"/>
      <c r="G150" s="186"/>
      <c r="H150" s="186"/>
      <c r="I150" s="186"/>
      <c r="J150" s="186"/>
      <c r="K150" s="186"/>
      <c r="L150" s="186"/>
      <c r="M150" s="186"/>
      <c r="N150" s="186"/>
      <c r="O150" s="186"/>
      <c r="P150" s="52"/>
    </row>
    <row r="151" spans="1:21" ht="15" customHeight="1" x14ac:dyDescent="0.25">
      <c r="B151" s="15" t="s">
        <v>1310</v>
      </c>
      <c r="E151" s="44"/>
      <c r="F151" s="44"/>
      <c r="G151" s="186" t="s">
        <v>862</v>
      </c>
      <c r="H151" s="186"/>
      <c r="I151" s="186"/>
      <c r="J151" s="186"/>
      <c r="K151" s="186"/>
      <c r="L151" s="186"/>
      <c r="M151" s="186"/>
      <c r="N151" s="186"/>
      <c r="O151" s="186"/>
      <c r="P151" s="52"/>
      <c r="R151" s="67"/>
      <c r="T151" s="11" t="str">
        <f>IF(OR(AND(ISBLANK(R151),Lending="Yes"),AND(NOT(ISBLANK(R151)),Lending&lt;&gt;"Yes")),"R","G")</f>
        <v>G</v>
      </c>
    </row>
    <row r="152" spans="1:21" ht="15" customHeight="1" x14ac:dyDescent="0.25">
      <c r="B152" s="15" t="s">
        <v>725</v>
      </c>
      <c r="E152" s="44"/>
      <c r="F152" s="44"/>
      <c r="G152" s="186" t="s">
        <v>863</v>
      </c>
      <c r="H152" s="186"/>
      <c r="I152" s="186"/>
      <c r="J152" s="186"/>
      <c r="K152" s="186"/>
      <c r="L152" s="186"/>
      <c r="M152" s="186"/>
      <c r="N152" s="186"/>
      <c r="O152" s="186"/>
      <c r="P152" s="52"/>
      <c r="R152" s="67"/>
      <c r="T152" s="11" t="str">
        <f>IF(OR(AND(ISBLANK(R152),Lending="Yes"),AND(NOT(ISBLANK(R152)),Lending&lt;&gt;"Yes")),"R","G")</f>
        <v>G</v>
      </c>
    </row>
    <row r="153" spans="1:21" x14ac:dyDescent="0.25">
      <c r="B153" s="34"/>
      <c r="C153" s="34"/>
      <c r="D153" s="15"/>
      <c r="E153" s="15"/>
      <c r="F153" s="15"/>
      <c r="G153" s="15"/>
      <c r="H153" s="15"/>
      <c r="I153" s="15"/>
      <c r="J153" s="15"/>
      <c r="K153" s="15"/>
      <c r="L153" s="15"/>
      <c r="M153" s="15"/>
      <c r="N153" s="15"/>
      <c r="O153" s="15"/>
      <c r="P153" s="15"/>
      <c r="R153" s="36"/>
    </row>
    <row r="154" spans="1:21" ht="7.35" customHeight="1" x14ac:dyDescent="0.25">
      <c r="B154" s="71"/>
      <c r="C154" s="71"/>
      <c r="D154" s="15"/>
      <c r="E154" s="15"/>
      <c r="F154" s="15"/>
      <c r="G154" s="15"/>
      <c r="H154" s="15"/>
      <c r="I154" s="15"/>
      <c r="J154" s="15"/>
      <c r="K154" s="15"/>
      <c r="L154" s="15"/>
      <c r="M154" s="72"/>
      <c r="N154" s="72"/>
      <c r="O154" s="72"/>
      <c r="P154" s="72"/>
      <c r="Q154" s="73"/>
      <c r="R154" s="74"/>
    </row>
    <row r="155" spans="1:21" ht="7.15" customHeight="1" x14ac:dyDescent="0.25">
      <c r="A155" s="75"/>
      <c r="B155" s="76"/>
      <c r="C155" s="76"/>
      <c r="D155" s="77"/>
      <c r="E155" s="77"/>
      <c r="F155" s="77"/>
      <c r="G155" s="77"/>
      <c r="H155" s="77"/>
      <c r="I155" s="77"/>
      <c r="J155" s="77"/>
      <c r="K155" s="77"/>
      <c r="L155" s="77"/>
      <c r="M155" s="77"/>
      <c r="N155" s="77"/>
      <c r="O155" s="77"/>
      <c r="P155" s="77"/>
      <c r="Q155" s="75"/>
      <c r="R155" s="78"/>
      <c r="S155" s="75"/>
      <c r="T155" s="12"/>
    </row>
    <row r="156" spans="1:21" ht="7.35" customHeight="1" x14ac:dyDescent="0.25">
      <c r="B156" s="71"/>
      <c r="C156" s="71"/>
      <c r="D156" s="15"/>
      <c r="E156" s="15"/>
      <c r="F156" s="15"/>
      <c r="G156" s="15"/>
      <c r="H156" s="15"/>
      <c r="I156" s="15"/>
      <c r="J156" s="15"/>
      <c r="K156" s="15"/>
      <c r="L156" s="15"/>
      <c r="M156" s="15"/>
      <c r="N156" s="15"/>
      <c r="O156" s="15"/>
      <c r="P156" s="15"/>
      <c r="R156" s="74"/>
    </row>
    <row r="157" spans="1:21" ht="19.5" thickBot="1" x14ac:dyDescent="0.3">
      <c r="A157" s="37"/>
      <c r="B157" s="38" t="s">
        <v>187</v>
      </c>
      <c r="C157" s="38"/>
      <c r="D157" s="39" t="s">
        <v>1137</v>
      </c>
      <c r="E157" s="40"/>
      <c r="F157" s="40"/>
      <c r="G157" s="40"/>
      <c r="H157" s="40"/>
      <c r="I157" s="40"/>
      <c r="J157" s="40"/>
      <c r="K157" s="40"/>
      <c r="L157" s="40"/>
      <c r="M157" s="40"/>
      <c r="N157" s="40"/>
      <c r="O157" s="40"/>
      <c r="P157" s="40"/>
      <c r="Q157" s="37"/>
      <c r="R157" s="42"/>
      <c r="S157" s="37"/>
    </row>
    <row r="158" spans="1:21" x14ac:dyDescent="0.25">
      <c r="E158" s="54"/>
      <c r="F158" s="54"/>
      <c r="G158" s="54"/>
      <c r="H158" s="54"/>
      <c r="I158" s="54"/>
      <c r="J158" s="54"/>
      <c r="K158" s="54"/>
      <c r="L158" s="54"/>
      <c r="M158" s="54"/>
      <c r="N158" s="54"/>
      <c r="O158" s="54"/>
      <c r="P158" s="54"/>
    </row>
    <row r="159" spans="1:21" ht="15" customHeight="1" x14ac:dyDescent="0.25">
      <c r="B159" s="15" t="s">
        <v>726</v>
      </c>
      <c r="D159" s="186" t="s">
        <v>878</v>
      </c>
      <c r="E159" s="186"/>
      <c r="F159" s="186"/>
      <c r="G159" s="186"/>
      <c r="H159" s="186"/>
      <c r="I159" s="186"/>
      <c r="J159" s="186"/>
      <c r="K159" s="186"/>
      <c r="L159" s="186"/>
      <c r="M159" s="186"/>
      <c r="N159" s="186"/>
      <c r="O159" s="186"/>
      <c r="P159" s="52"/>
      <c r="R159" s="97">
        <f>SUM(R160:R161)</f>
        <v>0</v>
      </c>
    </row>
    <row r="160" spans="1:21" x14ac:dyDescent="0.25">
      <c r="B160" s="15" t="s">
        <v>727</v>
      </c>
      <c r="E160" s="186" t="s">
        <v>862</v>
      </c>
      <c r="F160" s="186"/>
      <c r="G160" s="186"/>
      <c r="H160" s="186"/>
      <c r="I160" s="186"/>
      <c r="J160" s="186"/>
      <c r="K160" s="186"/>
      <c r="L160" s="186"/>
      <c r="M160" s="186"/>
      <c r="N160" s="186"/>
      <c r="O160" s="186"/>
      <c r="P160" s="52"/>
      <c r="R160" s="67"/>
      <c r="T160" s="11" t="str">
        <f>IF(OR(AND(ISBLANK(R160),Broking="Yes"),AND(NOT(ISBLANK(R160)),Broking&lt;&gt;"Yes")),"R","G")</f>
        <v>G</v>
      </c>
    </row>
    <row r="161" spans="1:20" x14ac:dyDescent="0.25">
      <c r="B161" s="15" t="s">
        <v>728</v>
      </c>
      <c r="E161" s="186" t="s">
        <v>863</v>
      </c>
      <c r="F161" s="186"/>
      <c r="G161" s="186"/>
      <c r="H161" s="186"/>
      <c r="I161" s="186"/>
      <c r="J161" s="186"/>
      <c r="K161" s="186"/>
      <c r="L161" s="186"/>
      <c r="M161" s="186"/>
      <c r="N161" s="186"/>
      <c r="O161" s="186"/>
      <c r="P161" s="52"/>
      <c r="R161" s="67"/>
      <c r="T161" s="11" t="str">
        <f>IF(OR(AND(ISBLANK(R161),Broking="Yes"),AND(NOT(ISBLANK(R161)),Broking&lt;&gt;"Yes")),"R","G")</f>
        <v>G</v>
      </c>
    </row>
    <row r="162" spans="1:20" x14ac:dyDescent="0.25">
      <c r="B162" s="34"/>
      <c r="C162" s="34"/>
      <c r="D162" s="15"/>
      <c r="E162" s="15"/>
      <c r="F162" s="15"/>
      <c r="G162" s="15"/>
      <c r="H162" s="15"/>
      <c r="I162" s="15"/>
      <c r="J162" s="15"/>
      <c r="K162" s="15"/>
      <c r="L162" s="15"/>
      <c r="M162" s="15"/>
      <c r="N162" s="15"/>
      <c r="O162" s="15"/>
      <c r="P162" s="15"/>
      <c r="R162" s="36"/>
    </row>
    <row r="163" spans="1:20" ht="7.35" customHeight="1" x14ac:dyDescent="0.25">
      <c r="B163" s="71"/>
      <c r="C163" s="71"/>
      <c r="D163" s="15"/>
      <c r="E163" s="15"/>
      <c r="F163" s="15"/>
      <c r="G163" s="15"/>
      <c r="H163" s="15"/>
      <c r="I163" s="15"/>
      <c r="J163" s="15"/>
      <c r="K163" s="15"/>
      <c r="L163" s="15"/>
      <c r="M163" s="72"/>
      <c r="N163" s="72"/>
      <c r="O163" s="72"/>
      <c r="P163" s="72"/>
      <c r="Q163" s="73"/>
      <c r="R163" s="74"/>
    </row>
    <row r="164" spans="1:20" ht="7.15" customHeight="1" x14ac:dyDescent="0.25">
      <c r="A164" s="75"/>
      <c r="B164" s="76"/>
      <c r="C164" s="76"/>
      <c r="D164" s="77"/>
      <c r="E164" s="77"/>
      <c r="F164" s="77"/>
      <c r="G164" s="77"/>
      <c r="H164" s="77"/>
      <c r="I164" s="77"/>
      <c r="J164" s="77"/>
      <c r="K164" s="77"/>
      <c r="L164" s="77"/>
      <c r="M164" s="77"/>
      <c r="N164" s="77"/>
      <c r="O164" s="77"/>
      <c r="P164" s="77"/>
      <c r="Q164" s="75"/>
      <c r="R164" s="78"/>
      <c r="S164" s="75"/>
      <c r="T164" s="12"/>
    </row>
    <row r="165" spans="1:20" ht="7.35" customHeight="1" x14ac:dyDescent="0.25">
      <c r="B165" s="71"/>
      <c r="C165" s="71"/>
      <c r="D165" s="15"/>
      <c r="E165" s="15"/>
      <c r="F165" s="15"/>
      <c r="G165" s="15"/>
      <c r="H165" s="15"/>
      <c r="I165" s="15"/>
      <c r="J165" s="15"/>
      <c r="K165" s="15"/>
      <c r="L165" s="15"/>
      <c r="M165" s="15"/>
      <c r="N165" s="15"/>
      <c r="O165" s="15"/>
      <c r="P165" s="15"/>
      <c r="R165" s="74"/>
    </row>
    <row r="166" spans="1:20" ht="19.5" thickBot="1" x14ac:dyDescent="0.3">
      <c r="A166" s="37"/>
      <c r="B166" s="38" t="s">
        <v>188</v>
      </c>
      <c r="C166" s="38"/>
      <c r="D166" s="39" t="s">
        <v>1138</v>
      </c>
      <c r="E166" s="40"/>
      <c r="F166" s="40"/>
      <c r="G166" s="40"/>
      <c r="H166" s="40"/>
      <c r="I166" s="40"/>
      <c r="J166" s="40"/>
      <c r="K166" s="40"/>
      <c r="L166" s="40"/>
      <c r="M166" s="40"/>
      <c r="N166" s="40"/>
      <c r="O166" s="40"/>
      <c r="P166" s="40"/>
      <c r="Q166" s="37"/>
      <c r="R166" s="42"/>
      <c r="S166" s="37"/>
    </row>
    <row r="167" spans="1:20" x14ac:dyDescent="0.25">
      <c r="E167" s="54"/>
      <c r="F167" s="54"/>
      <c r="G167" s="54"/>
      <c r="H167" s="54"/>
      <c r="I167" s="54"/>
      <c r="J167" s="54"/>
      <c r="K167" s="54"/>
      <c r="L167" s="54"/>
      <c r="M167" s="54"/>
      <c r="N167" s="54"/>
      <c r="O167" s="54"/>
      <c r="P167" s="54"/>
    </row>
    <row r="168" spans="1:20" ht="34.5" customHeight="1" x14ac:dyDescent="0.25">
      <c r="B168" s="15" t="s">
        <v>729</v>
      </c>
      <c r="D168" s="186" t="s">
        <v>1206</v>
      </c>
      <c r="E168" s="186"/>
      <c r="F168" s="186"/>
      <c r="G168" s="186"/>
      <c r="H168" s="186"/>
      <c r="I168" s="186"/>
      <c r="J168" s="186"/>
      <c r="K168" s="186"/>
      <c r="L168" s="186"/>
      <c r="M168" s="186"/>
      <c r="N168" s="186"/>
      <c r="O168" s="186"/>
      <c r="P168" s="52"/>
      <c r="R168" s="97">
        <f>SUM(R169:R170)</f>
        <v>0</v>
      </c>
    </row>
    <row r="169" spans="1:20" x14ac:dyDescent="0.25">
      <c r="B169" s="15" t="s">
        <v>730</v>
      </c>
      <c r="E169" s="186" t="s">
        <v>862</v>
      </c>
      <c r="F169" s="186"/>
      <c r="G169" s="186"/>
      <c r="H169" s="186"/>
      <c r="I169" s="186"/>
      <c r="J169" s="186"/>
      <c r="K169" s="186"/>
      <c r="L169" s="186"/>
      <c r="M169" s="186"/>
      <c r="N169" s="186"/>
      <c r="O169" s="186"/>
      <c r="P169" s="52"/>
      <c r="R169" s="67"/>
      <c r="T169" s="11" t="str">
        <f>IF(OR(AND(ISBLANK(R169),Other="Yes"),AND(NOT(ISBLANK(R169)),Other&lt;&gt;"Yes")),"R","G")</f>
        <v>G</v>
      </c>
    </row>
    <row r="170" spans="1:20" x14ac:dyDescent="0.25">
      <c r="B170" s="15" t="s">
        <v>731</v>
      </c>
      <c r="E170" s="186" t="s">
        <v>863</v>
      </c>
      <c r="F170" s="186"/>
      <c r="G170" s="186"/>
      <c r="H170" s="186"/>
      <c r="I170" s="186"/>
      <c r="J170" s="186"/>
      <c r="K170" s="186"/>
      <c r="L170" s="186"/>
      <c r="M170" s="186"/>
      <c r="N170" s="186"/>
      <c r="O170" s="186"/>
      <c r="P170" s="52"/>
      <c r="R170" s="67"/>
      <c r="T170" s="11" t="str">
        <f>IF(OR(AND(ISBLANK(R170),Other="Yes"),AND(NOT(ISBLANK(R170)),Other&lt;&gt;"Yes")),"R","G")</f>
        <v>G</v>
      </c>
    </row>
    <row r="171" spans="1:20" x14ac:dyDescent="0.25">
      <c r="B171" s="34"/>
      <c r="C171" s="34"/>
      <c r="D171" s="15"/>
      <c r="E171" s="15"/>
      <c r="F171" s="15"/>
      <c r="G171" s="15"/>
      <c r="H171" s="15"/>
      <c r="I171" s="15"/>
      <c r="J171" s="15"/>
      <c r="K171" s="15"/>
      <c r="L171" s="15"/>
      <c r="M171" s="15"/>
      <c r="N171" s="15"/>
      <c r="O171" s="15"/>
      <c r="P171" s="15"/>
      <c r="R171" s="36"/>
    </row>
    <row r="172" spans="1:20" ht="7.35" customHeight="1" x14ac:dyDescent="0.25">
      <c r="B172" s="71"/>
      <c r="C172" s="71"/>
      <c r="D172" s="15"/>
      <c r="E172" s="15"/>
      <c r="F172" s="15"/>
      <c r="G172" s="15"/>
      <c r="H172" s="15"/>
      <c r="I172" s="15"/>
      <c r="J172" s="15"/>
      <c r="K172" s="15"/>
      <c r="L172" s="15"/>
      <c r="M172" s="72"/>
      <c r="N172" s="72"/>
      <c r="O172" s="72"/>
      <c r="P172" s="72"/>
      <c r="Q172" s="73"/>
      <c r="R172" s="74"/>
    </row>
    <row r="173" spans="1:20" ht="7.15" customHeight="1" x14ac:dyDescent="0.25">
      <c r="A173" s="75"/>
      <c r="B173" s="76"/>
      <c r="C173" s="76"/>
      <c r="D173" s="77"/>
      <c r="E173" s="77"/>
      <c r="F173" s="77"/>
      <c r="G173" s="77"/>
      <c r="H173" s="77"/>
      <c r="I173" s="77"/>
      <c r="J173" s="77"/>
      <c r="K173" s="77"/>
      <c r="L173" s="77"/>
      <c r="M173" s="77"/>
      <c r="N173" s="77"/>
      <c r="O173" s="77"/>
      <c r="P173" s="77"/>
      <c r="Q173" s="75"/>
      <c r="R173" s="78"/>
      <c r="S173" s="75"/>
      <c r="T173" s="12"/>
    </row>
    <row r="174" spans="1:20" ht="7.35" customHeight="1" x14ac:dyDescent="0.25">
      <c r="B174" s="71"/>
      <c r="C174" s="71"/>
      <c r="D174" s="15"/>
      <c r="E174" s="15"/>
      <c r="F174" s="15"/>
      <c r="G174" s="15"/>
      <c r="H174" s="15"/>
      <c r="I174" s="15"/>
      <c r="J174" s="15"/>
      <c r="K174" s="15"/>
      <c r="L174" s="15"/>
      <c r="M174" s="15"/>
      <c r="N174" s="15"/>
      <c r="O174" s="15"/>
      <c r="P174" s="15"/>
      <c r="R174" s="74"/>
    </row>
    <row r="175" spans="1:20" ht="19.5" thickBot="1" x14ac:dyDescent="0.3">
      <c r="A175" s="37"/>
      <c r="B175" s="38" t="s">
        <v>203</v>
      </c>
      <c r="C175" s="38"/>
      <c r="D175" s="39" t="s">
        <v>1139</v>
      </c>
      <c r="E175" s="40"/>
      <c r="F175" s="40"/>
      <c r="G175" s="40"/>
      <c r="H175" s="40"/>
      <c r="I175" s="40"/>
      <c r="J175" s="40"/>
      <c r="K175" s="40"/>
      <c r="L175" s="40"/>
      <c r="M175" s="40"/>
      <c r="N175" s="40"/>
      <c r="O175" s="40"/>
      <c r="P175" s="40"/>
      <c r="Q175" s="37"/>
      <c r="R175" s="42"/>
      <c r="S175" s="37"/>
    </row>
    <row r="176" spans="1:20" x14ac:dyDescent="0.25">
      <c r="E176" s="54"/>
      <c r="F176" s="54"/>
      <c r="G176" s="54"/>
      <c r="H176" s="54"/>
      <c r="I176" s="54"/>
      <c r="J176" s="54"/>
      <c r="K176" s="54"/>
      <c r="L176" s="54"/>
      <c r="M176" s="54"/>
      <c r="N176" s="54"/>
      <c r="O176" s="54"/>
      <c r="P176" s="54"/>
    </row>
    <row r="177" spans="1:20" x14ac:dyDescent="0.25">
      <c r="B177" s="15" t="s">
        <v>732</v>
      </c>
      <c r="D177" s="186" t="s">
        <v>1270</v>
      </c>
      <c r="E177" s="186"/>
      <c r="F177" s="186"/>
      <c r="G177" s="186"/>
      <c r="H177" s="186"/>
      <c r="I177" s="186"/>
      <c r="J177" s="186"/>
      <c r="K177" s="186"/>
      <c r="L177" s="186"/>
      <c r="M177" s="186"/>
      <c r="N177" s="186"/>
      <c r="O177" s="186"/>
      <c r="P177" s="52"/>
      <c r="R177" s="67"/>
      <c r="T177" s="11" t="str">
        <f>IF(OR(AND(ISBLANK(R177),Underwriting="Yes"),AND(NOT(ISBLANK(R177)),Underwriting&lt;&gt;"Yes")),"R","G")</f>
        <v>G</v>
      </c>
    </row>
    <row r="178" spans="1:20" x14ac:dyDescent="0.25">
      <c r="B178" s="34"/>
      <c r="C178" s="34"/>
      <c r="D178" s="15"/>
      <c r="E178" s="15"/>
      <c r="F178" s="15"/>
      <c r="G178" s="15"/>
      <c r="H178" s="15"/>
      <c r="I178" s="15"/>
      <c r="J178" s="15"/>
      <c r="K178" s="15"/>
      <c r="L178" s="15"/>
      <c r="M178" s="15"/>
      <c r="N178" s="15"/>
      <c r="O178" s="15"/>
      <c r="P178" s="15"/>
      <c r="R178" s="36"/>
    </row>
    <row r="179" spans="1:20" ht="6.75" customHeight="1" x14ac:dyDescent="0.25">
      <c r="B179" s="71"/>
      <c r="C179" s="71"/>
      <c r="D179" s="15"/>
      <c r="E179" s="15"/>
      <c r="F179" s="15"/>
      <c r="G179" s="15"/>
      <c r="H179" s="15"/>
      <c r="I179" s="15"/>
      <c r="J179" s="15"/>
      <c r="K179" s="15"/>
      <c r="L179" s="15"/>
      <c r="M179" s="72"/>
      <c r="N179" s="72"/>
      <c r="O179" s="72"/>
      <c r="P179" s="72"/>
      <c r="Q179" s="73"/>
      <c r="R179" s="74"/>
    </row>
    <row r="180" spans="1:20" ht="7.15" customHeight="1" x14ac:dyDescent="0.25">
      <c r="A180" s="75"/>
      <c r="B180" s="76"/>
      <c r="C180" s="76"/>
      <c r="D180" s="77"/>
      <c r="E180" s="77"/>
      <c r="F180" s="77"/>
      <c r="G180" s="77"/>
      <c r="H180" s="77"/>
      <c r="I180" s="77"/>
      <c r="J180" s="77"/>
      <c r="K180" s="77"/>
      <c r="L180" s="77"/>
      <c r="M180" s="77"/>
      <c r="N180" s="77"/>
      <c r="O180" s="77"/>
      <c r="P180" s="77"/>
      <c r="Q180" s="75"/>
      <c r="R180" s="78"/>
      <c r="S180" s="75"/>
      <c r="T180" s="12"/>
    </row>
    <row r="181" spans="1:20" ht="7.35" customHeight="1" x14ac:dyDescent="0.25">
      <c r="B181" s="71"/>
      <c r="C181" s="71"/>
      <c r="D181" s="15"/>
      <c r="E181" s="15"/>
      <c r="F181" s="15"/>
      <c r="G181" s="15"/>
      <c r="H181" s="15"/>
      <c r="I181" s="15"/>
      <c r="J181" s="15"/>
      <c r="K181" s="15"/>
      <c r="L181" s="15"/>
      <c r="M181" s="15"/>
      <c r="N181" s="15"/>
      <c r="O181" s="15"/>
      <c r="P181" s="15"/>
      <c r="R181" s="74"/>
    </row>
    <row r="182" spans="1:20" ht="18.75" x14ac:dyDescent="0.25">
      <c r="B182" s="182" t="s">
        <v>1129</v>
      </c>
      <c r="C182" s="62"/>
      <c r="D182" s="63" t="s">
        <v>1197</v>
      </c>
      <c r="E182" s="63"/>
      <c r="F182" s="63"/>
      <c r="G182" s="63"/>
      <c r="H182" s="63"/>
      <c r="I182" s="63"/>
      <c r="J182" s="63"/>
      <c r="K182" s="63"/>
      <c r="L182" s="63"/>
      <c r="M182" s="63"/>
      <c r="N182" s="63"/>
      <c r="O182" s="63"/>
      <c r="P182" s="63"/>
      <c r="Q182" s="63"/>
      <c r="R182" s="63"/>
    </row>
    <row r="183" spans="1:20" ht="19.5" thickBot="1" x14ac:dyDescent="0.3">
      <c r="A183" s="37"/>
      <c r="B183" s="183"/>
      <c r="C183" s="38"/>
      <c r="D183" s="79" t="s">
        <v>1196</v>
      </c>
      <c r="E183" s="39"/>
      <c r="F183" s="39"/>
      <c r="G183" s="39"/>
      <c r="H183" s="39"/>
      <c r="I183" s="39"/>
      <c r="J183" s="39"/>
      <c r="K183" s="39"/>
      <c r="L183" s="39"/>
      <c r="M183" s="39"/>
      <c r="N183" s="39"/>
      <c r="O183" s="39"/>
      <c r="P183" s="39"/>
      <c r="Q183" s="39"/>
      <c r="R183" s="39"/>
      <c r="S183" s="37"/>
    </row>
    <row r="184" spans="1:20" x14ac:dyDescent="0.25">
      <c r="E184" s="54"/>
      <c r="F184" s="54"/>
      <c r="G184" s="54"/>
      <c r="H184" s="54"/>
      <c r="I184" s="54"/>
      <c r="J184" s="54"/>
      <c r="K184" s="54"/>
      <c r="L184" s="54"/>
      <c r="M184" s="54"/>
      <c r="N184" s="54"/>
      <c r="O184" s="54"/>
      <c r="P184" s="54"/>
    </row>
    <row r="185" spans="1:20" ht="28.5" customHeight="1" x14ac:dyDescent="0.25">
      <c r="B185" s="15" t="s">
        <v>733</v>
      </c>
      <c r="D185" s="186" t="s">
        <v>1203</v>
      </c>
      <c r="E185" s="186"/>
      <c r="F185" s="186"/>
      <c r="G185" s="186"/>
      <c r="H185" s="186"/>
      <c r="I185" s="186"/>
      <c r="J185" s="186"/>
      <c r="K185" s="186"/>
      <c r="L185" s="186"/>
      <c r="M185" s="186"/>
      <c r="N185" s="186"/>
      <c r="O185" s="186"/>
      <c r="P185" s="52"/>
      <c r="R185" s="97">
        <f>SUM(R186:R187)</f>
        <v>0</v>
      </c>
    </row>
    <row r="186" spans="1:20" x14ac:dyDescent="0.25">
      <c r="B186" s="15" t="s">
        <v>734</v>
      </c>
      <c r="E186" s="186" t="s">
        <v>862</v>
      </c>
      <c r="F186" s="186"/>
      <c r="G186" s="186"/>
      <c r="H186" s="186"/>
      <c r="I186" s="186"/>
      <c r="J186" s="186"/>
      <c r="K186" s="186"/>
      <c r="L186" s="186"/>
      <c r="M186" s="186"/>
      <c r="N186" s="186"/>
      <c r="O186" s="186"/>
      <c r="P186" s="52"/>
      <c r="R186" s="67"/>
      <c r="T186" s="11" t="str">
        <f>IF(OR(AND(ISBLANK(R186),Trading="Yes"),AND(NOT(ISBLANK(R186)),Trading&lt;&gt;"Yes")),"R","G")</f>
        <v>G</v>
      </c>
    </row>
    <row r="187" spans="1:20" x14ac:dyDescent="0.25">
      <c r="B187" s="15" t="s">
        <v>735</v>
      </c>
      <c r="E187" s="186" t="s">
        <v>863</v>
      </c>
      <c r="F187" s="186"/>
      <c r="G187" s="186"/>
      <c r="H187" s="186"/>
      <c r="I187" s="186"/>
      <c r="J187" s="186"/>
      <c r="K187" s="186"/>
      <c r="L187" s="186"/>
      <c r="M187" s="186"/>
      <c r="N187" s="186"/>
      <c r="O187" s="186"/>
      <c r="P187" s="52"/>
      <c r="R187" s="67"/>
      <c r="T187" s="11" t="str">
        <f>IF(OR(AND(ISBLANK(R187),Trading="Yes"),AND(NOT(ISBLANK(R187)),Trading&lt;&gt;"Yes")),"R","G")</f>
        <v>G</v>
      </c>
    </row>
    <row r="188" spans="1:20" x14ac:dyDescent="0.25">
      <c r="B188" s="34"/>
      <c r="C188" s="34"/>
      <c r="D188" s="15"/>
      <c r="E188" s="15"/>
      <c r="F188" s="15"/>
      <c r="G188" s="15"/>
      <c r="H188" s="15"/>
      <c r="I188" s="15"/>
      <c r="J188" s="15"/>
      <c r="K188" s="15"/>
      <c r="L188" s="15"/>
      <c r="M188" s="15"/>
      <c r="N188" s="15"/>
      <c r="O188" s="15"/>
      <c r="P188" s="15"/>
      <c r="R188" s="36"/>
    </row>
    <row r="189" spans="1:20" ht="7.35" customHeight="1" x14ac:dyDescent="0.25">
      <c r="B189" s="71"/>
      <c r="C189" s="71"/>
      <c r="D189" s="15"/>
      <c r="E189" s="15"/>
      <c r="F189" s="15"/>
      <c r="G189" s="15"/>
      <c r="H189" s="15"/>
      <c r="I189" s="15"/>
      <c r="J189" s="15"/>
      <c r="K189" s="15"/>
      <c r="L189" s="15"/>
      <c r="M189" s="72"/>
      <c r="N189" s="72"/>
      <c r="O189" s="72"/>
      <c r="P189" s="72"/>
      <c r="Q189" s="73"/>
      <c r="R189" s="74"/>
    </row>
    <row r="190" spans="1:20" ht="7.15" customHeight="1" x14ac:dyDescent="0.25">
      <c r="A190" s="75"/>
      <c r="B190" s="76"/>
      <c r="C190" s="76"/>
      <c r="D190" s="77"/>
      <c r="E190" s="77"/>
      <c r="F190" s="77"/>
      <c r="G190" s="77"/>
      <c r="H190" s="77"/>
      <c r="I190" s="77"/>
      <c r="J190" s="77"/>
      <c r="K190" s="77"/>
      <c r="L190" s="77"/>
      <c r="M190" s="77"/>
      <c r="N190" s="77"/>
      <c r="O190" s="77"/>
      <c r="P190" s="77"/>
      <c r="Q190" s="75"/>
      <c r="R190" s="78"/>
      <c r="S190" s="75"/>
      <c r="T190" s="12"/>
    </row>
    <row r="191" spans="1:20" ht="7.35" customHeight="1" x14ac:dyDescent="0.25">
      <c r="B191" s="71"/>
      <c r="C191" s="71"/>
      <c r="D191" s="15"/>
      <c r="E191" s="15"/>
      <c r="F191" s="15"/>
      <c r="G191" s="15"/>
      <c r="H191" s="15"/>
      <c r="I191" s="15"/>
      <c r="J191" s="15"/>
      <c r="K191" s="15"/>
      <c r="L191" s="15"/>
      <c r="M191" s="15"/>
      <c r="N191" s="15"/>
      <c r="O191" s="15"/>
      <c r="P191" s="15"/>
      <c r="R191" s="74"/>
    </row>
    <row r="192" spans="1:20" ht="19.5" thickBot="1" x14ac:dyDescent="0.3">
      <c r="A192" s="37"/>
      <c r="B192" s="38" t="s">
        <v>1130</v>
      </c>
      <c r="C192" s="38"/>
      <c r="D192" s="39" t="s">
        <v>1140</v>
      </c>
      <c r="E192" s="40"/>
      <c r="F192" s="40"/>
      <c r="G192" s="40"/>
      <c r="H192" s="40"/>
      <c r="I192" s="40"/>
      <c r="J192" s="40"/>
      <c r="K192" s="40"/>
      <c r="L192" s="40"/>
      <c r="M192" s="40"/>
      <c r="N192" s="40"/>
      <c r="O192" s="40"/>
      <c r="P192" s="40"/>
      <c r="Q192" s="37"/>
      <c r="R192" s="42"/>
      <c r="S192" s="37"/>
    </row>
    <row r="193" spans="1:20" x14ac:dyDescent="0.25">
      <c r="E193" s="54"/>
      <c r="F193" s="54"/>
      <c r="G193" s="54"/>
      <c r="H193" s="54"/>
      <c r="I193" s="54"/>
      <c r="J193" s="54"/>
      <c r="K193" s="54"/>
      <c r="L193" s="54"/>
      <c r="M193" s="54"/>
      <c r="N193" s="54"/>
      <c r="O193" s="54"/>
      <c r="P193" s="54"/>
    </row>
    <row r="194" spans="1:20" x14ac:dyDescent="0.25">
      <c r="B194" s="15" t="s">
        <v>736</v>
      </c>
      <c r="D194" s="186" t="s">
        <v>879</v>
      </c>
      <c r="E194" s="186"/>
      <c r="F194" s="186"/>
      <c r="G194" s="186"/>
      <c r="H194" s="186"/>
      <c r="I194" s="186"/>
      <c r="J194" s="186"/>
      <c r="K194" s="186"/>
      <c r="L194" s="186"/>
      <c r="M194" s="186"/>
      <c r="N194" s="186"/>
      <c r="O194" s="186"/>
      <c r="P194" s="52"/>
      <c r="R194" s="97">
        <f>SUM(R195:R196)</f>
        <v>0</v>
      </c>
    </row>
    <row r="195" spans="1:20" x14ac:dyDescent="0.25">
      <c r="B195" s="15" t="s">
        <v>737</v>
      </c>
      <c r="E195" s="186" t="s">
        <v>862</v>
      </c>
      <c r="F195" s="186"/>
      <c r="G195" s="186"/>
      <c r="H195" s="186"/>
      <c r="I195" s="186"/>
      <c r="J195" s="186"/>
      <c r="K195" s="186"/>
      <c r="L195" s="186"/>
      <c r="M195" s="186"/>
      <c r="N195" s="186"/>
      <c r="O195" s="186"/>
      <c r="P195" s="52"/>
      <c r="R195" s="67"/>
      <c r="T195" s="11" t="str">
        <f>IF(OR(AND(ISBLANK(R195),Capital="Yes"),AND(NOT(ISBLANK(R195)),Capital&lt;&gt;"Yes")),"R","G")</f>
        <v>G</v>
      </c>
    </row>
    <row r="196" spans="1:20" x14ac:dyDescent="0.25">
      <c r="B196" s="15" t="s">
        <v>738</v>
      </c>
      <c r="E196" s="186" t="s">
        <v>863</v>
      </c>
      <c r="F196" s="186"/>
      <c r="G196" s="186"/>
      <c r="H196" s="186"/>
      <c r="I196" s="186"/>
      <c r="J196" s="186"/>
      <c r="K196" s="186"/>
      <c r="L196" s="186"/>
      <c r="M196" s="186"/>
      <c r="N196" s="186"/>
      <c r="O196" s="186"/>
      <c r="P196" s="52"/>
      <c r="R196" s="67"/>
      <c r="T196" s="11" t="str">
        <f>IF(OR(AND(ISBLANK(R196),Capital="Yes"),AND(NOT(ISBLANK(R196)),Capital&lt;&gt;"Yes")),"R","G")</f>
        <v>G</v>
      </c>
    </row>
    <row r="197" spans="1:20" x14ac:dyDescent="0.25">
      <c r="P197" s="43"/>
    </row>
    <row r="198" spans="1:20" ht="6.6" customHeight="1" x14ac:dyDescent="0.25">
      <c r="A198" s="13"/>
      <c r="B198" s="58"/>
      <c r="C198" s="58"/>
      <c r="D198" s="13"/>
      <c r="E198" s="13"/>
      <c r="F198" s="13"/>
      <c r="G198" s="13"/>
      <c r="H198" s="13"/>
      <c r="I198" s="13"/>
      <c r="J198" s="13"/>
      <c r="K198" s="13"/>
      <c r="L198" s="13"/>
      <c r="M198" s="13"/>
      <c r="N198" s="13"/>
      <c r="O198" s="13"/>
      <c r="P198" s="13"/>
      <c r="Q198" s="13"/>
      <c r="R198" s="59"/>
      <c r="S198" s="13"/>
      <c r="T198" s="13"/>
    </row>
  </sheetData>
  <sheetProtection algorithmName="SHA-512" hashValue="nSKEzz6yAgc0IumD+e4Xw3YU7jywvhCepIU7HteKTxmWeRw/EbvI0N8tFay+EssFEoqFheomV5GnBVUBZDpMyw==" saltValue="LBYzzNqEDw3H4cEUHcTRdg==" spinCount="100000" sheet="1" objects="1" scenarios="1"/>
  <mergeCells count="83">
    <mergeCell ref="E114:O114"/>
    <mergeCell ref="E115:O115"/>
    <mergeCell ref="E123:O123"/>
    <mergeCell ref="E124:O124"/>
    <mergeCell ref="E132:O132"/>
    <mergeCell ref="G143:O143"/>
    <mergeCell ref="G145:O145"/>
    <mergeCell ref="G146:O146"/>
    <mergeCell ref="D131:O131"/>
    <mergeCell ref="D122:O122"/>
    <mergeCell ref="E133:O133"/>
    <mergeCell ref="E141:O141"/>
    <mergeCell ref="G142:O142"/>
    <mergeCell ref="E144:O144"/>
    <mergeCell ref="E195:O195"/>
    <mergeCell ref="E196:O196"/>
    <mergeCell ref="E161:O161"/>
    <mergeCell ref="E169:O169"/>
    <mergeCell ref="E170:O170"/>
    <mergeCell ref="E186:O186"/>
    <mergeCell ref="E187:O187"/>
    <mergeCell ref="D185:O185"/>
    <mergeCell ref="D194:O194"/>
    <mergeCell ref="D177:O177"/>
    <mergeCell ref="D168:O168"/>
    <mergeCell ref="G152:O152"/>
    <mergeCell ref="E150:O150"/>
    <mergeCell ref="E160:O160"/>
    <mergeCell ref="G151:O151"/>
    <mergeCell ref="G148:O148"/>
    <mergeCell ref="G149:O149"/>
    <mergeCell ref="E147:O147"/>
    <mergeCell ref="D159:O159"/>
    <mergeCell ref="D140:O140"/>
    <mergeCell ref="E72:O72"/>
    <mergeCell ref="E73:O73"/>
    <mergeCell ref="D75:O75"/>
    <mergeCell ref="E88:O88"/>
    <mergeCell ref="E91:O91"/>
    <mergeCell ref="D84:O84"/>
    <mergeCell ref="D82:O82"/>
    <mergeCell ref="D106:O106"/>
    <mergeCell ref="D102:O102"/>
    <mergeCell ref="D100:O100"/>
    <mergeCell ref="D98:O98"/>
    <mergeCell ref="E87:O87"/>
    <mergeCell ref="E92:O92"/>
    <mergeCell ref="D71:O71"/>
    <mergeCell ref="E2:R2"/>
    <mergeCell ref="E16:O16"/>
    <mergeCell ref="E17:O17"/>
    <mergeCell ref="D29:O29"/>
    <mergeCell ref="D27:O27"/>
    <mergeCell ref="D25:O25"/>
    <mergeCell ref="D23:O23"/>
    <mergeCell ref="D21:O21"/>
    <mergeCell ref="D19:O19"/>
    <mergeCell ref="D15:O15"/>
    <mergeCell ref="D13:O13"/>
    <mergeCell ref="D33:O33"/>
    <mergeCell ref="D31:O31"/>
    <mergeCell ref="D35:O35"/>
    <mergeCell ref="D96:O96"/>
    <mergeCell ref="D94:O94"/>
    <mergeCell ref="D90:O90"/>
    <mergeCell ref="E103:O103"/>
    <mergeCell ref="D86:O86"/>
    <mergeCell ref="B182:B183"/>
    <mergeCell ref="D59:O59"/>
    <mergeCell ref="D57:O57"/>
    <mergeCell ref="E36:P36"/>
    <mergeCell ref="E40:O40"/>
    <mergeCell ref="D42:O42"/>
    <mergeCell ref="E37:O37"/>
    <mergeCell ref="E39:O39"/>
    <mergeCell ref="E38:O38"/>
    <mergeCell ref="D69:O69"/>
    <mergeCell ref="D67:O67"/>
    <mergeCell ref="D65:O65"/>
    <mergeCell ref="D63:O63"/>
    <mergeCell ref="D61:O61"/>
    <mergeCell ref="E104:O104"/>
    <mergeCell ref="D113:O113"/>
  </mergeCells>
  <conditionalFormatting sqref="B15:R17">
    <cfRule type="expression" dxfId="172" priority="229">
      <formula>$R$13&lt;=0</formula>
    </cfRule>
  </conditionalFormatting>
  <conditionalFormatting sqref="B35:R55">
    <cfRule type="expression" dxfId="171" priority="1">
      <formula>$R$33&lt;=0</formula>
    </cfRule>
  </conditionalFormatting>
  <conditionalFormatting sqref="B82:R82">
    <cfRule type="expression" dxfId="170" priority="165">
      <formula>AND(PR.82.1&lt;&gt;"Yes",PR.82.2&lt;&gt;"Yes",PR.82.3&lt;&gt;"Yes",PR.82.4&lt;&gt;"Yes",PR.82.5&lt;&gt;"Yes",PR.82.6&lt;&gt;"Yes")</formula>
    </cfRule>
  </conditionalFormatting>
  <conditionalFormatting sqref="B84:R84">
    <cfRule type="expression" dxfId="169" priority="161">
      <formula>Payment&lt;&gt;"Yes"</formula>
    </cfRule>
  </conditionalFormatting>
  <conditionalFormatting sqref="B86:R88">
    <cfRule type="expression" dxfId="168" priority="157">
      <formula>AND(PR.133&lt;&gt;"Yes",PR.133&lt;&gt;"No")</formula>
    </cfRule>
  </conditionalFormatting>
  <conditionalFormatting sqref="B90:R92">
    <cfRule type="expression" dxfId="167" priority="148">
      <formula>Payment&lt;&gt;"Yes"</formula>
    </cfRule>
  </conditionalFormatting>
  <conditionalFormatting sqref="B94:R94">
    <cfRule type="expression" dxfId="166" priority="144">
      <formula>PR.104&lt;=0</formula>
    </cfRule>
  </conditionalFormatting>
  <conditionalFormatting sqref="B96:R96">
    <cfRule type="expression" dxfId="165" priority="140">
      <formula>PR.116&lt;&gt;"Yes"</formula>
    </cfRule>
  </conditionalFormatting>
  <conditionalFormatting sqref="B98:R98">
    <cfRule type="expression" dxfId="164" priority="136">
      <formula>PR.54&lt;=0</formula>
    </cfRule>
  </conditionalFormatting>
  <conditionalFormatting sqref="B100:R100">
    <cfRule type="expression" dxfId="163" priority="132">
      <formula>PR.54&lt;=0</formula>
    </cfRule>
  </conditionalFormatting>
  <conditionalFormatting sqref="B102:R104">
    <cfRule type="expression" dxfId="162" priority="124">
      <formula>PR.136&lt;=0</formula>
    </cfRule>
  </conditionalFormatting>
  <conditionalFormatting sqref="B106:R106">
    <cfRule type="expression" dxfId="161" priority="117">
      <formula>PR.136&lt;=0</formula>
    </cfRule>
  </conditionalFormatting>
  <conditionalFormatting sqref="B113:R115">
    <cfRule type="expression" dxfId="160" priority="113">
      <formula>Emoney&lt;&gt;"Yes"</formula>
    </cfRule>
  </conditionalFormatting>
  <conditionalFormatting sqref="B122:R124">
    <cfRule type="expression" dxfId="159" priority="109">
      <formula>FinancialLeasing&lt;&gt;"Yes"</formula>
    </cfRule>
  </conditionalFormatting>
  <conditionalFormatting sqref="B131:R133">
    <cfRule type="expression" dxfId="158" priority="105">
      <formula>Guarantees&lt;&gt;"Yes"</formula>
    </cfRule>
  </conditionalFormatting>
  <conditionalFormatting sqref="B140:R152">
    <cfRule type="expression" dxfId="157" priority="101">
      <formula>Lending&lt;&gt;"Yes"</formula>
    </cfRule>
  </conditionalFormatting>
  <conditionalFormatting sqref="B159:R161">
    <cfRule type="expression" dxfId="156" priority="68">
      <formula>Broking&lt;&gt;"Yes"</formula>
    </cfRule>
  </conditionalFormatting>
  <conditionalFormatting sqref="B168:R170">
    <cfRule type="expression" dxfId="155" priority="64">
      <formula>Other&lt;&gt;"Yes"</formula>
    </cfRule>
  </conditionalFormatting>
  <conditionalFormatting sqref="B177:R177">
    <cfRule type="expression" dxfId="154" priority="60">
      <formula>Underwriting&lt;&gt;"Yes"</formula>
    </cfRule>
  </conditionalFormatting>
  <conditionalFormatting sqref="B185:R187">
    <cfRule type="expression" dxfId="153" priority="59">
      <formula>Trading&lt;&gt;"Yes"</formula>
    </cfRule>
  </conditionalFormatting>
  <conditionalFormatting sqref="B194:R196">
    <cfRule type="expression" dxfId="152" priority="54">
      <formula>Capital&lt;&gt;"Yes"</formula>
    </cfRule>
  </conditionalFormatting>
  <conditionalFormatting sqref="D42:O55">
    <cfRule type="expression" dxfId="151" priority="2">
      <formula>$R$40&lt;=0</formula>
    </cfRule>
  </conditionalFormatting>
  <conditionalFormatting sqref="T1:T1048576">
    <cfRule type="cellIs" dxfId="150" priority="3" operator="equal">
      <formula>"Y"</formula>
    </cfRule>
    <cfRule type="cellIs" dxfId="149" priority="4" operator="equal">
      <formula>"R"</formula>
    </cfRule>
    <cfRule type="cellIs" dxfId="148" priority="5" operator="equal">
      <formula>"G"</formula>
    </cfRule>
  </conditionalFormatting>
  <dataValidations count="3">
    <dataValidation allowBlank="1" showInputMessage="1" showErrorMessage="1" prompt="This means that the user made use of formulas in the sheet which resulted in an error message. Kindly make sure that these issues are addressed before submitting the template." sqref="R5" xr:uid="{285A4AA1-C8AD-4736-8C63-74C3F7E9F3E2}"/>
    <dataValidation type="whole" operator="greaterThanOrEqual" allowBlank="1" showInputMessage="1" showErrorMessage="1" error="Kindly input a whole number _x000a_greater than or equal to 0" prompt="Kindly input a whole number greater than or equal to 0" sqref="R37:R40 O43:O49 G43:G55 R57 R59 R61 R63 R65 R67 R69 R72:R73 R75 R84 R87:R88 R91:R92 R94 R96 R98 R100 R103:R104 R106 R114:R115 R123:R124 R132:R133 R142:R143 R145:R146 R148:R149 R151:R152 R160:R161 R169:R170 R177 R186:R187 R195:R196 R13 R16:R17 R19 R21 R23 R25 R27 R29 R31 R33 K43:K55" xr:uid="{6B444661-CA63-4644-AB83-06CD1AA994C4}">
      <formula1>0</formula1>
    </dataValidation>
    <dataValidation type="whole" operator="greaterThanOrEqual" allowBlank="1" showInputMessage="1" showErrorMessage="1" prompt="Kindly input a whole number greater than or equal to 0" sqref="R82" xr:uid="{6DFA3427-A3DE-49F6-9922-A6072B6CE554}">
      <formula1>0</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6053E-C796-44D2-9554-F7DF45CEB9B2}">
  <sheetPr codeName="Sheet8">
    <tabColor rgb="FF002B96"/>
  </sheetPr>
  <dimension ref="A1:AC1062"/>
  <sheetViews>
    <sheetView zoomScaleNormal="100" workbookViewId="0"/>
  </sheetViews>
  <sheetFormatPr defaultColWidth="0" defaultRowHeight="15" zeroHeight="1" x14ac:dyDescent="0.25"/>
  <cols>
    <col min="1" max="1" width="2" style="10" customWidth="1"/>
    <col min="2" max="2" width="14.28515625" style="15" customWidth="1"/>
    <col min="3" max="3" width="1.140625" style="15" customWidth="1"/>
    <col min="4" max="4" width="4.7109375" style="34" customWidth="1"/>
    <col min="5" max="5" width="19.28515625" style="34" customWidth="1"/>
    <col min="6" max="6" width="0.5703125" style="34" customWidth="1"/>
    <col min="7" max="7" width="18.7109375" style="34" customWidth="1"/>
    <col min="8" max="8" width="1.140625" style="34" customWidth="1"/>
    <col min="9" max="9" width="4.7109375" style="34" bestFit="1" customWidth="1"/>
    <col min="10" max="10" width="19.28515625" style="34" customWidth="1"/>
    <col min="11" max="11" width="18.7109375" style="34" customWidth="1"/>
    <col min="12" max="12" width="1.140625" style="34" customWidth="1"/>
    <col min="13" max="13" width="4.7109375" style="34" customWidth="1"/>
    <col min="14" max="14" width="19.42578125" style="34" customWidth="1"/>
    <col min="15" max="15" width="18.7109375" style="34" customWidth="1"/>
    <col min="16" max="16" width="9.140625" style="34" customWidth="1"/>
    <col min="17" max="17" width="0.5703125" style="10" customWidth="1"/>
    <col min="18" max="18" width="39.28515625" style="26" bestFit="1" customWidth="1"/>
    <col min="19" max="19" width="0.7109375" style="10" customWidth="1"/>
    <col min="20" max="20" width="2.7109375" style="10" customWidth="1"/>
    <col min="21" max="21" width="0.5703125" style="22" customWidth="1"/>
    <col min="22" max="29" width="0" style="10" hidden="1" customWidth="1"/>
    <col min="30" max="16384" width="9.140625" style="10" hidden="1"/>
  </cols>
  <sheetData>
    <row r="1" spans="1:20" ht="15.75" x14ac:dyDescent="0.25">
      <c r="A1" s="6"/>
      <c r="B1" s="19"/>
      <c r="C1" s="19"/>
      <c r="D1" s="20"/>
      <c r="E1" s="20"/>
      <c r="F1" s="20"/>
      <c r="G1" s="20"/>
      <c r="H1" s="20"/>
      <c r="I1" s="20"/>
      <c r="J1" s="20"/>
      <c r="K1" s="20"/>
      <c r="L1" s="20"/>
      <c r="M1" s="20"/>
      <c r="N1" s="20"/>
      <c r="O1" s="20"/>
      <c r="P1" s="20"/>
      <c r="Q1" s="7"/>
      <c r="R1" s="60"/>
      <c r="S1" s="8"/>
      <c r="T1" s="8"/>
    </row>
    <row r="2" spans="1:20" ht="18.75" x14ac:dyDescent="0.25">
      <c r="A2" s="8"/>
      <c r="B2" s="19"/>
      <c r="C2" s="19"/>
      <c r="D2" s="20"/>
      <c r="E2" s="180" t="s">
        <v>1064</v>
      </c>
      <c r="F2" s="180"/>
      <c r="G2" s="180"/>
      <c r="H2" s="180"/>
      <c r="I2" s="180"/>
      <c r="J2" s="180"/>
      <c r="K2" s="180"/>
      <c r="L2" s="180"/>
      <c r="M2" s="180"/>
      <c r="N2" s="180"/>
      <c r="O2" s="180"/>
      <c r="P2" s="180"/>
      <c r="Q2" s="180"/>
      <c r="R2" s="180"/>
      <c r="S2" s="8"/>
      <c r="T2" s="8"/>
    </row>
    <row r="3" spans="1:20" ht="15.75" x14ac:dyDescent="0.25">
      <c r="A3" s="8"/>
      <c r="B3" s="23"/>
      <c r="C3" s="23"/>
      <c r="D3" s="23"/>
      <c r="E3" s="20"/>
      <c r="F3" s="20"/>
      <c r="G3" s="20"/>
      <c r="H3" s="20"/>
      <c r="I3" s="20"/>
      <c r="J3" s="20"/>
      <c r="K3" s="20"/>
      <c r="L3" s="20"/>
      <c r="M3" s="20"/>
      <c r="N3" s="20"/>
      <c r="O3" s="20"/>
      <c r="P3" s="20"/>
      <c r="Q3" s="8"/>
      <c r="R3" s="100"/>
      <c r="S3" s="9" t="str">
        <f>CoverSheet!A7</f>
        <v>v:1.0</v>
      </c>
      <c r="T3" s="8"/>
    </row>
    <row r="4" spans="1:20" x14ac:dyDescent="0.25">
      <c r="D4" s="15"/>
      <c r="E4" s="15"/>
      <c r="F4" s="15"/>
      <c r="G4" s="15"/>
      <c r="H4" s="15"/>
      <c r="I4" s="15"/>
      <c r="J4" s="15"/>
      <c r="K4" s="15"/>
      <c r="L4" s="15"/>
      <c r="M4" s="15"/>
      <c r="N4" s="15"/>
      <c r="O4" s="15"/>
      <c r="P4" s="15"/>
    </row>
    <row r="5" spans="1:20" x14ac:dyDescent="0.25">
      <c r="D5" s="15"/>
      <c r="E5" s="27" t="s">
        <v>53</v>
      </c>
      <c r="F5" s="15"/>
      <c r="G5" s="28">
        <f>CoverSheet!D11</f>
        <v>0</v>
      </c>
      <c r="H5" s="15"/>
      <c r="I5" s="15"/>
      <c r="J5" s="15"/>
      <c r="K5" s="15"/>
      <c r="L5" s="15"/>
      <c r="M5" s="15"/>
      <c r="O5" s="15"/>
      <c r="P5" s="15"/>
    </row>
    <row r="6" spans="1:20" x14ac:dyDescent="0.25">
      <c r="D6" s="15"/>
      <c r="E6" s="27" t="s">
        <v>54</v>
      </c>
      <c r="F6" s="15"/>
      <c r="G6" s="15" t="str">
        <f>CoverSheet!D15</f>
        <v>01/01/2025 - 31/12/2025</v>
      </c>
      <c r="H6" s="15"/>
      <c r="I6" s="15"/>
      <c r="J6" s="15"/>
      <c r="K6" s="15"/>
      <c r="L6" s="15"/>
      <c r="M6" s="15"/>
      <c r="N6" s="15"/>
      <c r="O6" s="15"/>
      <c r="P6" s="15"/>
      <c r="R6" s="70" t="s">
        <v>1116</v>
      </c>
      <c r="T6" s="11" t="str">
        <f>IF(COUNTIF(T7:T1025,"R")&gt;0,"R","G")</f>
        <v>R</v>
      </c>
    </row>
    <row r="7" spans="1:20" ht="15.75" thickBot="1" x14ac:dyDescent="0.3">
      <c r="B7" s="30"/>
      <c r="C7" s="30"/>
      <c r="D7" s="31"/>
      <c r="E7" s="31"/>
      <c r="F7" s="31"/>
      <c r="G7" s="31"/>
      <c r="H7" s="31"/>
      <c r="I7" s="31"/>
      <c r="J7" s="31"/>
      <c r="K7" s="31"/>
      <c r="L7" s="31"/>
      <c r="M7" s="31"/>
      <c r="N7" s="31"/>
      <c r="O7" s="31"/>
      <c r="P7" s="31"/>
      <c r="Q7" s="29"/>
      <c r="R7" s="33"/>
      <c r="S7" s="29"/>
    </row>
    <row r="8" spans="1:20" ht="15.75" thickTop="1" x14ac:dyDescent="0.25">
      <c r="B8" s="34"/>
      <c r="C8" s="34"/>
      <c r="D8" s="15"/>
      <c r="E8" s="15"/>
      <c r="F8" s="15"/>
      <c r="G8" s="15"/>
      <c r="H8" s="15"/>
      <c r="I8" s="15"/>
      <c r="J8" s="15"/>
      <c r="K8" s="15"/>
      <c r="L8" s="15"/>
      <c r="M8" s="15"/>
      <c r="N8" s="15"/>
      <c r="O8" s="15"/>
      <c r="P8" s="15"/>
      <c r="R8" s="35"/>
    </row>
    <row r="9" spans="1:20" x14ac:dyDescent="0.25">
      <c r="B9" s="46" t="s">
        <v>1049</v>
      </c>
      <c r="C9" s="46"/>
      <c r="D9" s="15"/>
      <c r="E9" s="15"/>
      <c r="F9" s="15"/>
      <c r="G9" s="15"/>
      <c r="H9" s="15"/>
      <c r="I9" s="15"/>
      <c r="J9" s="15"/>
      <c r="K9" s="15"/>
      <c r="L9" s="15"/>
      <c r="M9" s="15"/>
      <c r="N9" s="15"/>
      <c r="O9" s="15"/>
      <c r="P9" s="15"/>
    </row>
    <row r="10" spans="1:20" x14ac:dyDescent="0.25">
      <c r="B10" s="34"/>
      <c r="C10" s="34"/>
      <c r="D10" s="15"/>
      <c r="E10" s="15"/>
      <c r="F10" s="15"/>
      <c r="G10" s="15"/>
      <c r="H10" s="15"/>
      <c r="I10" s="15"/>
      <c r="J10" s="15"/>
      <c r="K10" s="15"/>
      <c r="L10" s="15"/>
      <c r="M10" s="15"/>
      <c r="N10" s="15"/>
      <c r="O10" s="15"/>
      <c r="P10" s="15"/>
      <c r="R10" s="36"/>
    </row>
    <row r="11" spans="1:20" ht="19.5" thickBot="1" x14ac:dyDescent="0.3">
      <c r="B11" s="38" t="s">
        <v>55</v>
      </c>
      <c r="C11" s="38"/>
      <c r="D11" s="39" t="s">
        <v>1065</v>
      </c>
      <c r="E11" s="40"/>
      <c r="F11" s="40"/>
      <c r="G11" s="40"/>
      <c r="H11" s="40"/>
      <c r="I11" s="40"/>
      <c r="J11" s="40"/>
      <c r="K11" s="40"/>
      <c r="L11" s="40"/>
      <c r="M11" s="40"/>
      <c r="N11" s="40"/>
      <c r="O11" s="40"/>
      <c r="P11" s="40"/>
      <c r="Q11" s="37"/>
      <c r="R11" s="42"/>
      <c r="S11" s="37"/>
    </row>
    <row r="12" spans="1:20" ht="21.6" customHeight="1" x14ac:dyDescent="0.25"/>
    <row r="13" spans="1:20" ht="36" customHeight="1" x14ac:dyDescent="0.25">
      <c r="B13" s="15" t="s">
        <v>739</v>
      </c>
      <c r="D13" s="186" t="s">
        <v>1092</v>
      </c>
      <c r="E13" s="186"/>
      <c r="F13" s="186"/>
      <c r="G13" s="186"/>
      <c r="H13" s="186"/>
      <c r="I13" s="186"/>
      <c r="J13" s="186"/>
      <c r="K13" s="186"/>
      <c r="L13" s="186"/>
      <c r="M13" s="186"/>
      <c r="N13" s="186"/>
      <c r="O13" s="186"/>
      <c r="P13" s="186"/>
      <c r="R13" s="10"/>
    </row>
    <row r="14" spans="1:20" ht="52.5" customHeight="1" x14ac:dyDescent="0.25">
      <c r="D14" s="190" t="s">
        <v>1349</v>
      </c>
      <c r="E14" s="190"/>
      <c r="F14" s="190"/>
      <c r="G14" s="190"/>
      <c r="H14" s="190"/>
      <c r="I14" s="190"/>
      <c r="J14" s="190"/>
      <c r="K14" s="190"/>
      <c r="L14" s="190"/>
      <c r="M14" s="190"/>
      <c r="N14" s="190"/>
      <c r="O14" s="190"/>
      <c r="P14" s="190"/>
      <c r="R14" s="101"/>
    </row>
    <row r="15" spans="1:20" ht="15" customHeight="1" x14ac:dyDescent="0.25">
      <c r="B15" s="46" t="str">
        <f>$B$13&amp;"-M"</f>
        <v>FI-JR-07-M</v>
      </c>
      <c r="C15" s="46"/>
      <c r="D15" s="84"/>
      <c r="E15" s="189" t="s">
        <v>448</v>
      </c>
      <c r="F15" s="189"/>
      <c r="G15" s="189"/>
      <c r="H15" s="189"/>
      <c r="I15" s="189"/>
      <c r="J15" s="189"/>
      <c r="K15" s="189"/>
      <c r="L15" s="189"/>
      <c r="M15" s="189"/>
      <c r="N15" s="189"/>
      <c r="O15" s="189"/>
      <c r="P15" s="52"/>
      <c r="R15" s="98"/>
      <c r="T15" s="11" t="str">
        <f>IF(OR(AND(ISBLANK(R15),PR.50="Yes"),AND(PR.50&lt;&gt;"Yes",NOT(ISBLANK(R15)))),"R","G")</f>
        <v>G</v>
      </c>
    </row>
    <row r="16" spans="1:20" ht="15" customHeight="1" x14ac:dyDescent="0.25">
      <c r="B16" s="46" t="str">
        <f>$B$13&amp;"-E"</f>
        <v>FI-JR-07-E</v>
      </c>
      <c r="C16" s="46"/>
      <c r="D16" s="84"/>
      <c r="E16" s="189" t="s">
        <v>1084</v>
      </c>
      <c r="F16" s="189"/>
      <c r="G16" s="189"/>
      <c r="H16" s="189"/>
      <c r="I16" s="189"/>
      <c r="J16" s="189"/>
      <c r="K16" s="189"/>
      <c r="L16" s="189"/>
      <c r="M16" s="189"/>
      <c r="N16" s="189"/>
      <c r="O16" s="189"/>
      <c r="P16" s="52"/>
      <c r="R16" s="67"/>
      <c r="T16" s="11" t="str">
        <f>IF(OR(AND(ISBLANK(R16),PR.50="Yes"),AND(PR.50&lt;&gt;"Yes",NOT(ISBLANK(R16)))),"R","G")</f>
        <v>G</v>
      </c>
    </row>
    <row r="17" spans="2:20" ht="15" customHeight="1" x14ac:dyDescent="0.25">
      <c r="B17" s="46" t="str">
        <f>$B$13&amp;"-N"</f>
        <v>FI-JR-07-N</v>
      </c>
      <c r="C17" s="46"/>
      <c r="D17" s="84"/>
      <c r="E17" s="189" t="s">
        <v>1085</v>
      </c>
      <c r="F17" s="189"/>
      <c r="G17" s="189"/>
      <c r="H17" s="189"/>
      <c r="I17" s="189"/>
      <c r="J17" s="189"/>
      <c r="K17" s="189"/>
      <c r="L17" s="189"/>
      <c r="M17" s="189"/>
      <c r="N17" s="189"/>
      <c r="O17" s="189"/>
      <c r="P17" s="52"/>
      <c r="R17" s="67"/>
      <c r="T17" s="11" t="str">
        <f>IF(OR(AND(ISBLANK(R17),PR.50="Yes"),AND(PR.50&lt;&gt;"Yes",NOT(ISBLANK(R17)))),"R","G")</f>
        <v>G</v>
      </c>
    </row>
    <row r="18" spans="2:20" ht="30.75" customHeight="1" x14ac:dyDescent="0.25">
      <c r="B18" s="46" t="str">
        <f>$B$13&amp;"-F"</f>
        <v>FI-JR-07-F</v>
      </c>
      <c r="C18" s="46"/>
      <c r="D18" s="84"/>
      <c r="E18" s="191" t="s">
        <v>1086</v>
      </c>
      <c r="F18" s="191"/>
      <c r="G18" s="191"/>
      <c r="H18" s="191"/>
      <c r="I18" s="191"/>
      <c r="J18" s="191"/>
      <c r="K18" s="191"/>
      <c r="L18" s="191"/>
      <c r="M18" s="191"/>
      <c r="N18" s="191"/>
      <c r="O18" s="191"/>
      <c r="P18" s="86"/>
      <c r="R18" s="67"/>
      <c r="T18" s="11" t="str">
        <f>IF(OR(AND(ISBLANK(R18),PR.50="Yes"),AND(PR.50&lt;&gt;"Yes",NOT(ISBLANK(R18)))),"R","G")</f>
        <v>G</v>
      </c>
    </row>
    <row r="19" spans="2:20" ht="9.75" customHeight="1" x14ac:dyDescent="0.25">
      <c r="B19" s="10"/>
      <c r="C19" s="10"/>
      <c r="D19" s="10"/>
      <c r="E19" s="10"/>
      <c r="F19" s="10"/>
      <c r="G19" s="10"/>
      <c r="H19" s="10"/>
      <c r="I19" s="10"/>
      <c r="J19" s="10"/>
      <c r="K19" s="10"/>
      <c r="L19" s="10"/>
      <c r="M19" s="10"/>
      <c r="N19" s="10"/>
      <c r="O19" s="10"/>
      <c r="P19" s="10"/>
      <c r="R19" s="10"/>
    </row>
    <row r="20" spans="2:20" ht="15" customHeight="1" x14ac:dyDescent="0.25">
      <c r="B20" s="90"/>
      <c r="C20" s="90"/>
      <c r="D20" s="192" t="str">
        <f>IF(R18=0,"",IF(SUM(G21:G33,K21:K33,O21:O27)=R18,"","The totals included next to each jurisdiction do not add up to "&amp;R18&amp;", please revise the figures."))</f>
        <v/>
      </c>
      <c r="E20" s="192"/>
      <c r="F20" s="192"/>
      <c r="G20" s="192"/>
      <c r="H20" s="192"/>
      <c r="I20" s="192"/>
      <c r="J20" s="192"/>
      <c r="K20" s="192"/>
      <c r="L20" s="192"/>
      <c r="M20" s="192"/>
      <c r="N20" s="192"/>
      <c r="O20" s="192"/>
      <c r="P20" s="88"/>
      <c r="R20" s="89"/>
      <c r="T20" s="11" t="str">
        <f>IF(D20="","G","R")</f>
        <v>G</v>
      </c>
    </row>
    <row r="21" spans="2:20" ht="25.5" x14ac:dyDescent="0.25">
      <c r="C21" s="102" t="str">
        <f t="shared" ref="C21:C33" si="0">$B$18&amp;"-"&amp;D21</f>
        <v>FI-JR-07-F-AF</v>
      </c>
      <c r="D21" s="91" t="s">
        <v>1093</v>
      </c>
      <c r="E21" s="103" t="s">
        <v>317</v>
      </c>
      <c r="F21" s="93"/>
      <c r="G21" s="99">
        <v>0</v>
      </c>
      <c r="H21" s="90" t="str">
        <f>$B$18&amp;"-"&amp;I21</f>
        <v>FI-JR-07-F-LA</v>
      </c>
      <c r="I21" s="91" t="s">
        <v>1317</v>
      </c>
      <c r="J21" s="92" t="s">
        <v>1312</v>
      </c>
      <c r="K21" s="99">
        <v>0</v>
      </c>
      <c r="L21" s="90" t="str">
        <f t="shared" ref="L21:L27" si="1">$B$18&amp;"-"&amp;M21</f>
        <v>FI-JR-07-F-TZ</v>
      </c>
      <c r="M21" s="91" t="s">
        <v>1110</v>
      </c>
      <c r="N21" s="92" t="s">
        <v>526</v>
      </c>
      <c r="O21" s="99">
        <v>0</v>
      </c>
      <c r="P21" s="54"/>
      <c r="R21" s="89"/>
      <c r="T21" s="11" t="str">
        <f>IF(OR(AND(OR(ISBLANK(G21),ISBLANK(K21),ISBLANK(O21)),$R$18&gt;0),AND($R$18&lt;=0,OR(OR(G21&lt;&gt;0,K21&lt;&gt;0,O21&lt;&gt;0)))),"R","G")</f>
        <v>G</v>
      </c>
    </row>
    <row r="22" spans="2:20" x14ac:dyDescent="0.25">
      <c r="C22" s="102" t="str">
        <f t="shared" si="0"/>
        <v>FI-JR-07-F-DZ</v>
      </c>
      <c r="D22" s="91" t="s">
        <v>1094</v>
      </c>
      <c r="E22" s="103" t="s">
        <v>319</v>
      </c>
      <c r="F22" s="93"/>
      <c r="G22" s="99">
        <v>0</v>
      </c>
      <c r="H22" s="90" t="str">
        <f t="shared" ref="H22:H33" si="2">$B$18&amp;"-"&amp;I22</f>
        <v>FI-JR-07-F-LB</v>
      </c>
      <c r="I22" s="91" t="s">
        <v>1102</v>
      </c>
      <c r="J22" s="92" t="s">
        <v>434</v>
      </c>
      <c r="K22" s="99">
        <v>0</v>
      </c>
      <c r="L22" s="90" t="str">
        <f t="shared" si="1"/>
        <v>FI-JR-07-F-TT</v>
      </c>
      <c r="M22" s="91" t="s">
        <v>1111</v>
      </c>
      <c r="N22" s="92" t="s">
        <v>532</v>
      </c>
      <c r="O22" s="99">
        <v>0</v>
      </c>
      <c r="P22" s="54"/>
      <c r="R22" s="89"/>
      <c r="T22" s="11" t="str">
        <f t="shared" ref="T22:T27" si="3">IF(OR(AND(OR(ISBLANK(G22),ISBLANK(K22),ISBLANK(O22)),$R$18&gt;0),AND($R$18&lt;=0,OR(OR(G22&lt;&gt;0,K22&lt;&gt;0,O22&lt;&gt;0)))),"R","G")</f>
        <v>G</v>
      </c>
    </row>
    <row r="23" spans="2:20" x14ac:dyDescent="0.25">
      <c r="C23" s="102" t="str">
        <f t="shared" si="0"/>
        <v>FI-JR-07-F-AO</v>
      </c>
      <c r="D23" s="91" t="s">
        <v>1095</v>
      </c>
      <c r="E23" s="103" t="s">
        <v>322</v>
      </c>
      <c r="F23" s="93"/>
      <c r="G23" s="99">
        <v>0</v>
      </c>
      <c r="H23" s="90" t="str">
        <f t="shared" si="2"/>
        <v>FI-JR-07-F-ML</v>
      </c>
      <c r="I23" s="91" t="s">
        <v>1103</v>
      </c>
      <c r="J23" s="92" t="s">
        <v>447</v>
      </c>
      <c r="K23" s="99">
        <v>0</v>
      </c>
      <c r="L23" s="90" t="str">
        <f t="shared" si="1"/>
        <v>FI-JR-07-F-VU</v>
      </c>
      <c r="M23" s="91" t="s">
        <v>1112</v>
      </c>
      <c r="N23" s="92" t="s">
        <v>546</v>
      </c>
      <c r="O23" s="99">
        <v>0</v>
      </c>
      <c r="P23" s="54"/>
      <c r="R23" s="89"/>
      <c r="T23" s="11" t="str">
        <f t="shared" si="3"/>
        <v>G</v>
      </c>
    </row>
    <row r="24" spans="2:20" x14ac:dyDescent="0.25">
      <c r="C24" s="102" t="str">
        <f t="shared" si="0"/>
        <v>FI-JR-07-F-BO</v>
      </c>
      <c r="D24" s="91" t="s">
        <v>1316</v>
      </c>
      <c r="E24" s="103" t="s">
        <v>342</v>
      </c>
      <c r="F24" s="93"/>
      <c r="G24" s="99">
        <v>0</v>
      </c>
      <c r="H24" s="90" t="str">
        <f t="shared" si="2"/>
        <v>FI-JR-07-F-MN</v>
      </c>
      <c r="I24" s="91" t="s">
        <v>1315</v>
      </c>
      <c r="J24" s="92" t="s">
        <v>457</v>
      </c>
      <c r="K24" s="99">
        <v>0</v>
      </c>
      <c r="L24" s="90" t="str">
        <f t="shared" si="1"/>
        <v>FI-JR-07-F-VE</v>
      </c>
      <c r="M24" s="91" t="s">
        <v>1113</v>
      </c>
      <c r="N24" s="92" t="s">
        <v>547</v>
      </c>
      <c r="O24" s="99">
        <v>0</v>
      </c>
      <c r="P24" s="54"/>
      <c r="R24" s="89"/>
      <c r="T24" s="11" t="str">
        <f t="shared" si="3"/>
        <v>G</v>
      </c>
    </row>
    <row r="25" spans="2:20" x14ac:dyDescent="0.25">
      <c r="C25" s="102" t="str">
        <f t="shared" si="0"/>
        <v>FI-JR-07-F-BG</v>
      </c>
      <c r="D25" s="91" t="s">
        <v>1096</v>
      </c>
      <c r="E25" s="103" t="s">
        <v>349</v>
      </c>
      <c r="F25" s="93"/>
      <c r="G25" s="99">
        <v>0</v>
      </c>
      <c r="H25" s="90" t="str">
        <f t="shared" si="2"/>
        <v>FI-JR-07-F-MZ</v>
      </c>
      <c r="I25" s="91" t="s">
        <v>1104</v>
      </c>
      <c r="J25" s="92" t="s">
        <v>461</v>
      </c>
      <c r="K25" s="99">
        <v>0</v>
      </c>
      <c r="L25" s="90" t="str">
        <f t="shared" si="1"/>
        <v>FI-JR-07-F-VN</v>
      </c>
      <c r="M25" s="91" t="s">
        <v>1114</v>
      </c>
      <c r="N25" s="92" t="s">
        <v>1313</v>
      </c>
      <c r="O25" s="99">
        <v>0</v>
      </c>
      <c r="P25" s="54"/>
      <c r="R25" s="89"/>
      <c r="T25" s="11" t="str">
        <f t="shared" si="3"/>
        <v>G</v>
      </c>
    </row>
    <row r="26" spans="2:20" x14ac:dyDescent="0.25">
      <c r="C26" s="102" t="str">
        <f t="shared" si="0"/>
        <v>FI-JR-07-F-BF</v>
      </c>
      <c r="D26" s="91" t="s">
        <v>1097</v>
      </c>
      <c r="E26" s="103" t="s">
        <v>350</v>
      </c>
      <c r="F26" s="93"/>
      <c r="G26" s="99">
        <v>0</v>
      </c>
      <c r="H26" s="90" t="str">
        <f t="shared" si="2"/>
        <v>FI-JR-07-F-MM</v>
      </c>
      <c r="I26" s="91" t="s">
        <v>1105</v>
      </c>
      <c r="J26" s="92" t="s">
        <v>462</v>
      </c>
      <c r="K26" s="99">
        <v>0</v>
      </c>
      <c r="L26" s="90" t="str">
        <f t="shared" si="1"/>
        <v>FI-JR-07-F-VI</v>
      </c>
      <c r="M26" s="91" t="s">
        <v>1319</v>
      </c>
      <c r="N26" s="92" t="s">
        <v>1314</v>
      </c>
      <c r="O26" s="99">
        <v>0</v>
      </c>
      <c r="P26" s="54"/>
      <c r="R26" s="89"/>
      <c r="T26" s="11" t="str">
        <f t="shared" si="3"/>
        <v>G</v>
      </c>
    </row>
    <row r="27" spans="2:20" x14ac:dyDescent="0.25">
      <c r="C27" s="102" t="str">
        <f t="shared" si="0"/>
        <v>FI-JR-07-F-CM</v>
      </c>
      <c r="D27" s="91" t="s">
        <v>1098</v>
      </c>
      <c r="E27" s="103" t="s">
        <v>353</v>
      </c>
      <c r="F27" s="93"/>
      <c r="G27" s="99">
        <v>0</v>
      </c>
      <c r="H27" s="90" t="str">
        <f t="shared" si="2"/>
        <v>FI-JR-07-F-NA</v>
      </c>
      <c r="I27" s="91" t="s">
        <v>1106</v>
      </c>
      <c r="J27" s="92" t="s">
        <v>463</v>
      </c>
      <c r="K27" s="99">
        <v>0</v>
      </c>
      <c r="L27" s="90" t="str">
        <f t="shared" si="1"/>
        <v>FI-JR-07-F-YE</v>
      </c>
      <c r="M27" s="91" t="s">
        <v>1115</v>
      </c>
      <c r="N27" s="92" t="s">
        <v>553</v>
      </c>
      <c r="O27" s="99">
        <v>0</v>
      </c>
      <c r="P27" s="54"/>
      <c r="R27" s="89"/>
      <c r="T27" s="11" t="str">
        <f t="shared" si="3"/>
        <v>G</v>
      </c>
    </row>
    <row r="28" spans="2:20" ht="38.25" x14ac:dyDescent="0.25">
      <c r="C28" s="102" t="str">
        <f t="shared" si="0"/>
        <v>FI-JR-07-F-CD</v>
      </c>
      <c r="D28" s="91" t="s">
        <v>1099</v>
      </c>
      <c r="E28" s="103" t="s">
        <v>366</v>
      </c>
      <c r="F28" s="93"/>
      <c r="G28" s="99">
        <v>0</v>
      </c>
      <c r="H28" s="90" t="str">
        <f t="shared" si="2"/>
        <v>FI-JR-07-F-NP</v>
      </c>
      <c r="I28" s="91" t="s">
        <v>1318</v>
      </c>
      <c r="J28" s="92" t="s">
        <v>465</v>
      </c>
      <c r="K28" s="99">
        <v>0</v>
      </c>
      <c r="L28" s="89"/>
      <c r="M28" s="89"/>
      <c r="N28" s="89"/>
      <c r="O28" s="89"/>
      <c r="P28" s="54"/>
      <c r="R28" s="89"/>
      <c r="T28" s="11" t="str">
        <f t="shared" ref="T28:T33" si="4">IF(OR(AND(OR(ISBLANK(G28),ISBLANK(K28)),$R$18&gt;0),AND($R$18&lt;=0,OR(OR(G28&lt;&gt;0,K28&lt;&gt;0)))),"R","G")</f>
        <v>G</v>
      </c>
    </row>
    <row r="29" spans="2:20" x14ac:dyDescent="0.25">
      <c r="C29" s="102" t="str">
        <f t="shared" si="0"/>
        <v>FI-JR-07-F-CI</v>
      </c>
      <c r="D29" s="91" t="s">
        <v>1091</v>
      </c>
      <c r="E29" s="103" t="s">
        <v>369</v>
      </c>
      <c r="F29" s="93"/>
      <c r="G29" s="99">
        <v>0</v>
      </c>
      <c r="H29" s="90" t="str">
        <f t="shared" si="2"/>
        <v>FI-JR-07-F-NG</v>
      </c>
      <c r="I29" s="91" t="s">
        <v>1107</v>
      </c>
      <c r="J29" s="92" t="s">
        <v>472</v>
      </c>
      <c r="K29" s="99">
        <v>0</v>
      </c>
      <c r="L29" s="89"/>
      <c r="M29" s="89"/>
      <c r="N29" s="89"/>
      <c r="O29" s="89"/>
      <c r="P29" s="54"/>
      <c r="R29" s="89"/>
      <c r="T29" s="11" t="str">
        <f t="shared" si="4"/>
        <v>G</v>
      </c>
    </row>
    <row r="30" spans="2:20" x14ac:dyDescent="0.25">
      <c r="C30" s="102" t="str">
        <f t="shared" si="0"/>
        <v>FI-JR-07-F-HT</v>
      </c>
      <c r="D30" s="91" t="s">
        <v>1100</v>
      </c>
      <c r="E30" s="103" t="s">
        <v>408</v>
      </c>
      <c r="F30" s="93"/>
      <c r="G30" s="99">
        <v>0</v>
      </c>
      <c r="H30" s="90" t="str">
        <f t="shared" si="2"/>
        <v>FI-JR-07-F-RU</v>
      </c>
      <c r="I30" s="91" t="s">
        <v>1321</v>
      </c>
      <c r="J30" s="92" t="s">
        <v>1320</v>
      </c>
      <c r="K30" s="99">
        <v>0</v>
      </c>
      <c r="L30" s="89"/>
      <c r="M30" s="89"/>
      <c r="N30" s="89"/>
      <c r="O30" s="89"/>
      <c r="P30" s="54"/>
      <c r="R30" s="89"/>
      <c r="T30" s="11" t="str">
        <f t="shared" si="4"/>
        <v>G</v>
      </c>
    </row>
    <row r="31" spans="2:20" ht="25.5" x14ac:dyDescent="0.25">
      <c r="C31" s="102" t="str">
        <f t="shared" si="0"/>
        <v>FI-JR-07-F-IR</v>
      </c>
      <c r="D31" s="91" t="s">
        <v>912</v>
      </c>
      <c r="E31" s="103" t="s">
        <v>417</v>
      </c>
      <c r="F31" s="93"/>
      <c r="G31" s="99">
        <v>0</v>
      </c>
      <c r="H31" s="90" t="str">
        <f t="shared" si="2"/>
        <v>FI-JR-07-F-ZA</v>
      </c>
      <c r="I31" s="91" t="s">
        <v>1108</v>
      </c>
      <c r="J31" s="92" t="s">
        <v>513</v>
      </c>
      <c r="K31" s="99">
        <v>0</v>
      </c>
      <c r="L31" s="89"/>
      <c r="M31" s="89"/>
      <c r="N31" s="89"/>
      <c r="O31" s="89"/>
      <c r="P31" s="54"/>
      <c r="R31" s="89"/>
      <c r="T31" s="11" t="str">
        <f t="shared" si="4"/>
        <v>G</v>
      </c>
    </row>
    <row r="32" spans="2:20" x14ac:dyDescent="0.25">
      <c r="C32" s="102" t="str">
        <f t="shared" si="0"/>
        <v>FI-JR-07-F-KE</v>
      </c>
      <c r="D32" s="91" t="s">
        <v>1101</v>
      </c>
      <c r="E32" s="103" t="s">
        <v>426</v>
      </c>
      <c r="F32" s="93"/>
      <c r="G32" s="99">
        <v>0</v>
      </c>
      <c r="H32" s="90" t="str">
        <f t="shared" si="2"/>
        <v>FI-JR-07-F-SS</v>
      </c>
      <c r="I32" s="91" t="s">
        <v>1089</v>
      </c>
      <c r="J32" s="92" t="s">
        <v>1088</v>
      </c>
      <c r="K32" s="99">
        <v>0</v>
      </c>
      <c r="L32" s="89"/>
      <c r="M32" s="95"/>
      <c r="N32" s="95"/>
      <c r="O32" s="95"/>
      <c r="P32" s="54"/>
      <c r="R32" s="89"/>
      <c r="T32" s="11" t="str">
        <f t="shared" si="4"/>
        <v>G</v>
      </c>
    </row>
    <row r="33" spans="2:20" ht="25.5" x14ac:dyDescent="0.25">
      <c r="C33" s="102" t="str">
        <f t="shared" si="0"/>
        <v>FI-JR-07-F-KP</v>
      </c>
      <c r="D33" s="91" t="s">
        <v>1090</v>
      </c>
      <c r="E33" s="103" t="s">
        <v>428</v>
      </c>
      <c r="F33" s="96"/>
      <c r="G33" s="99">
        <v>0</v>
      </c>
      <c r="H33" s="90" t="str">
        <f t="shared" si="2"/>
        <v>FI-JR-07-F-SY</v>
      </c>
      <c r="I33" s="91" t="s">
        <v>1109</v>
      </c>
      <c r="J33" s="92" t="s">
        <v>523</v>
      </c>
      <c r="K33" s="99">
        <v>0</v>
      </c>
      <c r="L33" s="89"/>
      <c r="M33" s="95"/>
      <c r="N33" s="95"/>
      <c r="O33" s="95"/>
      <c r="P33" s="54"/>
      <c r="R33" s="89"/>
      <c r="T33" s="11" t="str">
        <f t="shared" si="4"/>
        <v>G</v>
      </c>
    </row>
    <row r="34" spans="2:20" x14ac:dyDescent="0.25">
      <c r="B34" s="84"/>
      <c r="C34" s="84"/>
      <c r="F34" s="54"/>
      <c r="G34" s="193"/>
      <c r="H34" s="193"/>
      <c r="I34" s="193"/>
      <c r="J34" s="193"/>
      <c r="K34" s="193"/>
      <c r="L34" s="193"/>
      <c r="M34" s="193"/>
      <c r="N34" s="193"/>
      <c r="O34" s="193"/>
      <c r="P34" s="54"/>
      <c r="R34" s="89"/>
      <c r="T34" s="11"/>
    </row>
    <row r="35" spans="2:20" ht="38.25" customHeight="1" x14ac:dyDescent="0.25">
      <c r="B35" s="15" t="s">
        <v>740</v>
      </c>
      <c r="D35" s="186" t="s">
        <v>1195</v>
      </c>
      <c r="E35" s="186"/>
      <c r="F35" s="186"/>
      <c r="G35" s="186"/>
      <c r="H35" s="186"/>
      <c r="I35" s="186"/>
      <c r="J35" s="186"/>
      <c r="K35" s="186"/>
      <c r="L35" s="186"/>
      <c r="M35" s="186"/>
      <c r="N35" s="186"/>
      <c r="O35" s="186"/>
      <c r="P35" s="52"/>
      <c r="R35" s="10"/>
    </row>
    <row r="36" spans="2:20" ht="52.5" customHeight="1" x14ac:dyDescent="0.25">
      <c r="D36" s="190" t="s">
        <v>1349</v>
      </c>
      <c r="E36" s="190"/>
      <c r="F36" s="190"/>
      <c r="G36" s="190"/>
      <c r="H36" s="190"/>
      <c r="I36" s="190"/>
      <c r="J36" s="190"/>
      <c r="K36" s="190"/>
      <c r="L36" s="190"/>
      <c r="M36" s="190"/>
      <c r="N36" s="190"/>
      <c r="O36" s="190"/>
      <c r="P36" s="190"/>
      <c r="R36" s="101"/>
    </row>
    <row r="37" spans="2:20" ht="15" customHeight="1" x14ac:dyDescent="0.25">
      <c r="B37" s="46" t="str">
        <f>$B$35&amp;"-M"</f>
        <v>FI-JR-09-M</v>
      </c>
      <c r="C37" s="46"/>
      <c r="D37" s="84"/>
      <c r="E37" s="189" t="s">
        <v>448</v>
      </c>
      <c r="F37" s="189"/>
      <c r="G37" s="189"/>
      <c r="H37" s="189"/>
      <c r="I37" s="189"/>
      <c r="J37" s="189"/>
      <c r="K37" s="189"/>
      <c r="L37" s="189"/>
      <c r="M37" s="189"/>
      <c r="N37" s="189"/>
      <c r="O37" s="189"/>
      <c r="P37" s="52"/>
      <c r="R37" s="67"/>
      <c r="T37" s="11" t="str">
        <f>IF(OR(AND(ISBLANK(R37),PR.50="Yes"),AND(PR.50&lt;&gt;"Yes",NOT(ISBLANK(R37)))),"R","G")</f>
        <v>G</v>
      </c>
    </row>
    <row r="38" spans="2:20" ht="15" customHeight="1" x14ac:dyDescent="0.25">
      <c r="B38" s="46" t="str">
        <f>$B$35&amp;"-E"</f>
        <v>FI-JR-09-E</v>
      </c>
      <c r="C38" s="46"/>
      <c r="D38" s="84"/>
      <c r="E38" s="189" t="s">
        <v>1084</v>
      </c>
      <c r="F38" s="189"/>
      <c r="G38" s="189"/>
      <c r="H38" s="189"/>
      <c r="I38" s="189"/>
      <c r="J38" s="189"/>
      <c r="K38" s="189"/>
      <c r="L38" s="189"/>
      <c r="M38" s="189"/>
      <c r="N38" s="189"/>
      <c r="O38" s="189"/>
      <c r="P38" s="52"/>
      <c r="R38" s="67"/>
      <c r="T38" s="11" t="str">
        <f>IF(OR(AND(ISBLANK(R38),PR.50="Yes"),AND(PR.50&lt;&gt;"Yes",NOT(ISBLANK(R38)))),"R","G")</f>
        <v>G</v>
      </c>
    </row>
    <row r="39" spans="2:20" ht="15" customHeight="1" x14ac:dyDescent="0.25">
      <c r="B39" s="46" t="str">
        <f>$B$35&amp;"-N"</f>
        <v>FI-JR-09-N</v>
      </c>
      <c r="C39" s="46"/>
      <c r="D39" s="84"/>
      <c r="E39" s="189" t="s">
        <v>1085</v>
      </c>
      <c r="F39" s="189"/>
      <c r="G39" s="189"/>
      <c r="H39" s="189"/>
      <c r="I39" s="189"/>
      <c r="J39" s="189"/>
      <c r="K39" s="189"/>
      <c r="L39" s="189"/>
      <c r="M39" s="189"/>
      <c r="N39" s="189"/>
      <c r="O39" s="189"/>
      <c r="P39" s="52"/>
      <c r="R39" s="67"/>
      <c r="T39" s="11" t="str">
        <f>IF(OR(AND(ISBLANK(R39),PR.50="Yes"),AND(PR.50&lt;&gt;"Yes",NOT(ISBLANK(R39)))),"R","G")</f>
        <v>G</v>
      </c>
    </row>
    <row r="40" spans="2:20" ht="30.75" customHeight="1" x14ac:dyDescent="0.25">
      <c r="B40" s="46" t="str">
        <f>$B$35&amp;"-F"</f>
        <v>FI-JR-09-F</v>
      </c>
      <c r="C40" s="46"/>
      <c r="D40" s="84"/>
      <c r="E40" s="191" t="s">
        <v>1086</v>
      </c>
      <c r="F40" s="191"/>
      <c r="G40" s="191"/>
      <c r="H40" s="191"/>
      <c r="I40" s="191"/>
      <c r="J40" s="191"/>
      <c r="K40" s="191"/>
      <c r="L40" s="191"/>
      <c r="M40" s="191"/>
      <c r="N40" s="191"/>
      <c r="O40" s="191"/>
      <c r="P40" s="86"/>
      <c r="R40" s="67"/>
      <c r="T40" s="11" t="str">
        <f>IF(OR(AND(ISBLANK(R40),PR.50="Yes"),AND(PR.50&lt;&gt;"Yes",NOT(ISBLANK(R40)))),"R","G")</f>
        <v>G</v>
      </c>
    </row>
    <row r="41" spans="2:20" ht="9.75" customHeight="1" x14ac:dyDescent="0.25">
      <c r="B41" s="10"/>
      <c r="C41" s="10"/>
      <c r="D41" s="10"/>
      <c r="E41" s="10"/>
      <c r="F41" s="10"/>
      <c r="G41" s="10"/>
      <c r="H41" s="10"/>
      <c r="I41" s="10"/>
      <c r="J41" s="10"/>
      <c r="K41" s="10"/>
      <c r="L41" s="10"/>
      <c r="M41" s="10"/>
      <c r="N41" s="10"/>
      <c r="O41" s="10"/>
      <c r="P41" s="10"/>
      <c r="R41" s="10"/>
    </row>
    <row r="42" spans="2:20" ht="15" customHeight="1" x14ac:dyDescent="0.25">
      <c r="B42" s="87"/>
      <c r="C42" s="87"/>
      <c r="D42" s="192" t="str">
        <f>IF(R40=0,"",IF(SUM(G43:G55,K43:K55,O43:O49)=R40,"","The totals included next to each jurisdiction do not add up to "&amp;R40&amp;", please revise the figures."))</f>
        <v/>
      </c>
      <c r="E42" s="192"/>
      <c r="F42" s="192"/>
      <c r="G42" s="192"/>
      <c r="H42" s="192"/>
      <c r="I42" s="192"/>
      <c r="J42" s="192"/>
      <c r="K42" s="192"/>
      <c r="L42" s="192"/>
      <c r="M42" s="192"/>
      <c r="N42" s="192"/>
      <c r="O42" s="192"/>
      <c r="P42" s="88"/>
      <c r="R42" s="89"/>
      <c r="T42" s="11" t="str">
        <f>IF(D42="","G","R")</f>
        <v>G</v>
      </c>
    </row>
    <row r="43" spans="2:20" ht="25.5" x14ac:dyDescent="0.25">
      <c r="B43" s="90"/>
      <c r="C43" s="102" t="str">
        <f>$B$40&amp;"-"&amp;D43</f>
        <v>FI-JR-09-F-AF</v>
      </c>
      <c r="D43" s="104" t="s">
        <v>1093</v>
      </c>
      <c r="E43" s="103" t="s">
        <v>317</v>
      </c>
      <c r="F43" s="93"/>
      <c r="G43" s="116">
        <v>0</v>
      </c>
      <c r="H43" s="105" t="str">
        <f t="shared" ref="H43:H55" si="5">$B$40&amp;"-"&amp;I43</f>
        <v>FI-JR-09-F-LA</v>
      </c>
      <c r="I43" s="91" t="s">
        <v>1317</v>
      </c>
      <c r="J43" s="92" t="s">
        <v>1312</v>
      </c>
      <c r="K43" s="116">
        <v>0</v>
      </c>
      <c r="L43" s="105" t="str">
        <f t="shared" ref="L43:L49" si="6">$B$40&amp;"-"&amp;M43</f>
        <v>FI-JR-09-F-TZ</v>
      </c>
      <c r="M43" s="91" t="s">
        <v>1110</v>
      </c>
      <c r="N43" s="92" t="s">
        <v>526</v>
      </c>
      <c r="O43" s="99">
        <v>0</v>
      </c>
      <c r="P43" s="95"/>
      <c r="R43" s="89"/>
      <c r="T43" s="11" t="str">
        <f>IF(OR(AND(OR(ISBLANK(G43),ISBLANK(K43),ISBLANK(O43)),$R$40&gt;0),AND($R$40&lt;=0,OR(OR(G43&lt;&gt;0,K43&lt;&gt;0,O43&lt;&gt;0)))),"R","G")</f>
        <v>G</v>
      </c>
    </row>
    <row r="44" spans="2:20" x14ac:dyDescent="0.25">
      <c r="B44" s="90"/>
      <c r="C44" s="102" t="str">
        <f t="shared" ref="C44:C55" si="7">$B$40&amp;"-"&amp;D44</f>
        <v>FI-JR-09-F-DZ</v>
      </c>
      <c r="D44" s="104" t="s">
        <v>1094</v>
      </c>
      <c r="E44" s="103" t="s">
        <v>319</v>
      </c>
      <c r="F44" s="93"/>
      <c r="G44" s="116">
        <v>0</v>
      </c>
      <c r="H44" s="105" t="str">
        <f t="shared" si="5"/>
        <v>FI-JR-09-F-LB</v>
      </c>
      <c r="I44" s="91" t="s">
        <v>1102</v>
      </c>
      <c r="J44" s="92" t="s">
        <v>434</v>
      </c>
      <c r="K44" s="116">
        <v>0</v>
      </c>
      <c r="L44" s="105" t="str">
        <f t="shared" si="6"/>
        <v>FI-JR-09-F-TT</v>
      </c>
      <c r="M44" s="91" t="s">
        <v>1111</v>
      </c>
      <c r="N44" s="92" t="s">
        <v>532</v>
      </c>
      <c r="O44" s="99">
        <v>0</v>
      </c>
      <c r="P44" s="95"/>
      <c r="R44" s="89"/>
      <c r="T44" s="11" t="str">
        <f t="shared" ref="T44:T49" si="8">IF(OR(AND(OR(ISBLANK(G44),ISBLANK(K44),ISBLANK(O44)),$R$40&gt;0),AND($R$40&lt;=0,OR(OR(G44&lt;&gt;0,K44&lt;&gt;0,O44&lt;&gt;0)))),"R","G")</f>
        <v>G</v>
      </c>
    </row>
    <row r="45" spans="2:20" x14ac:dyDescent="0.25">
      <c r="B45" s="90"/>
      <c r="C45" s="102" t="str">
        <f t="shared" si="7"/>
        <v>FI-JR-09-F-AO</v>
      </c>
      <c r="D45" s="104" t="s">
        <v>1095</v>
      </c>
      <c r="E45" s="103" t="s">
        <v>322</v>
      </c>
      <c r="F45" s="93"/>
      <c r="G45" s="116">
        <v>0</v>
      </c>
      <c r="H45" s="105" t="str">
        <f t="shared" si="5"/>
        <v>FI-JR-09-F-ML</v>
      </c>
      <c r="I45" s="91" t="s">
        <v>1103</v>
      </c>
      <c r="J45" s="92" t="s">
        <v>447</v>
      </c>
      <c r="K45" s="116">
        <v>0</v>
      </c>
      <c r="L45" s="105" t="str">
        <f t="shared" si="6"/>
        <v>FI-JR-09-F-VU</v>
      </c>
      <c r="M45" s="91" t="s">
        <v>1112</v>
      </c>
      <c r="N45" s="92" t="s">
        <v>546</v>
      </c>
      <c r="O45" s="99">
        <v>0</v>
      </c>
      <c r="P45" s="95"/>
      <c r="R45" s="89"/>
      <c r="T45" s="11" t="str">
        <f t="shared" si="8"/>
        <v>G</v>
      </c>
    </row>
    <row r="46" spans="2:20" x14ac:dyDescent="0.25">
      <c r="B46" s="90"/>
      <c r="C46" s="102" t="str">
        <f t="shared" si="7"/>
        <v>FI-JR-09-F-BO</v>
      </c>
      <c r="D46" s="104" t="s">
        <v>1316</v>
      </c>
      <c r="E46" s="103" t="s">
        <v>342</v>
      </c>
      <c r="F46" s="93"/>
      <c r="G46" s="116">
        <v>0</v>
      </c>
      <c r="H46" s="105" t="str">
        <f t="shared" si="5"/>
        <v>FI-JR-09-F-MN</v>
      </c>
      <c r="I46" s="91" t="s">
        <v>1315</v>
      </c>
      <c r="J46" s="92" t="s">
        <v>457</v>
      </c>
      <c r="K46" s="116">
        <v>0</v>
      </c>
      <c r="L46" s="105" t="str">
        <f t="shared" si="6"/>
        <v>FI-JR-09-F-VE</v>
      </c>
      <c r="M46" s="91" t="s">
        <v>1113</v>
      </c>
      <c r="N46" s="92" t="s">
        <v>547</v>
      </c>
      <c r="O46" s="99">
        <v>0</v>
      </c>
      <c r="P46" s="95"/>
      <c r="R46" s="106"/>
      <c r="T46" s="11" t="str">
        <f t="shared" si="8"/>
        <v>G</v>
      </c>
    </row>
    <row r="47" spans="2:20" x14ac:dyDescent="0.25">
      <c r="B47" s="90"/>
      <c r="C47" s="102" t="str">
        <f t="shared" si="7"/>
        <v>FI-JR-09-F-BG</v>
      </c>
      <c r="D47" s="104" t="s">
        <v>1096</v>
      </c>
      <c r="E47" s="103" t="s">
        <v>349</v>
      </c>
      <c r="F47" s="93"/>
      <c r="G47" s="116">
        <v>0</v>
      </c>
      <c r="H47" s="105" t="str">
        <f t="shared" si="5"/>
        <v>FI-JR-09-F-MZ</v>
      </c>
      <c r="I47" s="91" t="s">
        <v>1104</v>
      </c>
      <c r="J47" s="92" t="s">
        <v>461</v>
      </c>
      <c r="K47" s="116">
        <v>0</v>
      </c>
      <c r="L47" s="105" t="str">
        <f t="shared" si="6"/>
        <v>FI-JR-09-F-VN</v>
      </c>
      <c r="M47" s="91" t="s">
        <v>1114</v>
      </c>
      <c r="N47" s="92" t="s">
        <v>1313</v>
      </c>
      <c r="O47" s="99">
        <v>0</v>
      </c>
      <c r="P47" s="95"/>
      <c r="R47" s="89"/>
      <c r="T47" s="11" t="str">
        <f t="shared" si="8"/>
        <v>G</v>
      </c>
    </row>
    <row r="48" spans="2:20" x14ac:dyDescent="0.25">
      <c r="B48" s="90"/>
      <c r="C48" s="102" t="str">
        <f t="shared" si="7"/>
        <v>FI-JR-09-F-BF</v>
      </c>
      <c r="D48" s="104" t="s">
        <v>1097</v>
      </c>
      <c r="E48" s="103" t="s">
        <v>350</v>
      </c>
      <c r="F48" s="93"/>
      <c r="G48" s="116">
        <v>0</v>
      </c>
      <c r="H48" s="105" t="str">
        <f t="shared" si="5"/>
        <v>FI-JR-09-F-MM</v>
      </c>
      <c r="I48" s="91" t="s">
        <v>1105</v>
      </c>
      <c r="J48" s="92" t="s">
        <v>462</v>
      </c>
      <c r="K48" s="116">
        <v>0</v>
      </c>
      <c r="L48" s="105" t="str">
        <f t="shared" si="6"/>
        <v>FI-JR-09-F-VI</v>
      </c>
      <c r="M48" s="91" t="s">
        <v>1319</v>
      </c>
      <c r="N48" s="92" t="s">
        <v>1314</v>
      </c>
      <c r="O48" s="99">
        <v>0</v>
      </c>
      <c r="P48" s="95"/>
      <c r="R48" s="89"/>
      <c r="T48" s="11" t="str">
        <f t="shared" si="8"/>
        <v>G</v>
      </c>
    </row>
    <row r="49" spans="2:20" x14ac:dyDescent="0.25">
      <c r="B49" s="90"/>
      <c r="C49" s="102" t="str">
        <f t="shared" si="7"/>
        <v>FI-JR-09-F-CM</v>
      </c>
      <c r="D49" s="104" t="s">
        <v>1098</v>
      </c>
      <c r="E49" s="103" t="s">
        <v>353</v>
      </c>
      <c r="F49" s="93"/>
      <c r="G49" s="116">
        <v>0</v>
      </c>
      <c r="H49" s="105" t="str">
        <f t="shared" si="5"/>
        <v>FI-JR-09-F-NA</v>
      </c>
      <c r="I49" s="91" t="s">
        <v>1106</v>
      </c>
      <c r="J49" s="92" t="s">
        <v>463</v>
      </c>
      <c r="K49" s="116">
        <v>0</v>
      </c>
      <c r="L49" s="105" t="str">
        <f t="shared" si="6"/>
        <v>FI-JR-09-F-YE</v>
      </c>
      <c r="M49" s="91" t="s">
        <v>1115</v>
      </c>
      <c r="N49" s="92" t="s">
        <v>553</v>
      </c>
      <c r="O49" s="99">
        <v>0</v>
      </c>
      <c r="P49" s="95"/>
      <c r="R49" s="89"/>
      <c r="T49" s="11" t="str">
        <f t="shared" si="8"/>
        <v>G</v>
      </c>
    </row>
    <row r="50" spans="2:20" ht="38.25" x14ac:dyDescent="0.25">
      <c r="B50" s="90"/>
      <c r="C50" s="102" t="str">
        <f>$B$40&amp;"-"&amp;D50</f>
        <v>FI-JR-09-F-CD</v>
      </c>
      <c r="D50" s="104" t="s">
        <v>1099</v>
      </c>
      <c r="E50" s="103" t="s">
        <v>366</v>
      </c>
      <c r="F50" s="93"/>
      <c r="G50" s="116">
        <v>0</v>
      </c>
      <c r="H50" s="105" t="str">
        <f t="shared" si="5"/>
        <v>FI-JR-09-F-NP</v>
      </c>
      <c r="I50" s="91" t="s">
        <v>1318</v>
      </c>
      <c r="J50" s="92" t="s">
        <v>465</v>
      </c>
      <c r="K50" s="116">
        <v>0</v>
      </c>
      <c r="L50" s="95"/>
      <c r="M50" s="95"/>
      <c r="N50" s="95"/>
      <c r="O50" s="95"/>
      <c r="P50" s="95"/>
      <c r="R50" s="89"/>
      <c r="T50" s="11" t="str">
        <f t="shared" ref="T50:T55" si="9">IF(OR(AND(OR(ISBLANK(G50),ISBLANK(K50)),$R$40&gt;0),AND($R$40&lt;=0,OR(OR(G50&lt;&gt;0,K50&lt;&gt;0)))),"R","G")</f>
        <v>G</v>
      </c>
    </row>
    <row r="51" spans="2:20" x14ac:dyDescent="0.25">
      <c r="B51" s="90"/>
      <c r="C51" s="102" t="str">
        <f t="shared" si="7"/>
        <v>FI-JR-09-F-CI</v>
      </c>
      <c r="D51" s="104" t="s">
        <v>1091</v>
      </c>
      <c r="E51" s="103" t="s">
        <v>369</v>
      </c>
      <c r="F51" s="93"/>
      <c r="G51" s="116">
        <v>0</v>
      </c>
      <c r="H51" s="105" t="str">
        <f t="shared" si="5"/>
        <v>FI-JR-09-F-NG</v>
      </c>
      <c r="I51" s="91" t="s">
        <v>1107</v>
      </c>
      <c r="J51" s="92" t="s">
        <v>472</v>
      </c>
      <c r="K51" s="116">
        <v>0</v>
      </c>
      <c r="L51" s="95"/>
      <c r="M51" s="95"/>
      <c r="N51" s="95"/>
      <c r="O51" s="95"/>
      <c r="P51" s="95"/>
      <c r="R51" s="89"/>
      <c r="T51" s="11" t="str">
        <f t="shared" si="9"/>
        <v>G</v>
      </c>
    </row>
    <row r="52" spans="2:20" x14ac:dyDescent="0.25">
      <c r="B52" s="90"/>
      <c r="C52" s="102" t="str">
        <f t="shared" si="7"/>
        <v>FI-JR-09-F-HT</v>
      </c>
      <c r="D52" s="104" t="s">
        <v>1100</v>
      </c>
      <c r="E52" s="103" t="s">
        <v>408</v>
      </c>
      <c r="F52" s="93"/>
      <c r="G52" s="116">
        <v>0</v>
      </c>
      <c r="H52" s="105" t="str">
        <f t="shared" si="5"/>
        <v>FI-JR-09-F-RU</v>
      </c>
      <c r="I52" s="91" t="s">
        <v>1321</v>
      </c>
      <c r="J52" s="92" t="s">
        <v>1320</v>
      </c>
      <c r="K52" s="116">
        <v>0</v>
      </c>
      <c r="L52" s="95"/>
      <c r="M52" s="95"/>
      <c r="N52" s="95"/>
      <c r="O52" s="95"/>
      <c r="P52" s="95"/>
      <c r="R52" s="89"/>
      <c r="T52" s="11" t="str">
        <f t="shared" si="9"/>
        <v>G</v>
      </c>
    </row>
    <row r="53" spans="2:20" ht="25.5" x14ac:dyDescent="0.25">
      <c r="B53" s="90"/>
      <c r="C53" s="102" t="str">
        <f t="shared" si="7"/>
        <v>FI-JR-09-F-IR</v>
      </c>
      <c r="D53" s="104" t="s">
        <v>912</v>
      </c>
      <c r="E53" s="103" t="s">
        <v>417</v>
      </c>
      <c r="F53" s="93"/>
      <c r="G53" s="116">
        <v>0</v>
      </c>
      <c r="H53" s="105" t="str">
        <f t="shared" si="5"/>
        <v>FI-JR-09-F-ZA</v>
      </c>
      <c r="I53" s="91" t="s">
        <v>1108</v>
      </c>
      <c r="J53" s="92" t="s">
        <v>513</v>
      </c>
      <c r="K53" s="116">
        <v>0</v>
      </c>
      <c r="L53" s="95"/>
      <c r="M53" s="95"/>
      <c r="N53" s="95"/>
      <c r="O53" s="95"/>
      <c r="P53" s="95"/>
      <c r="R53" s="89"/>
      <c r="T53" s="11" t="str">
        <f t="shared" si="9"/>
        <v>G</v>
      </c>
    </row>
    <row r="54" spans="2:20" x14ac:dyDescent="0.25">
      <c r="B54" s="90"/>
      <c r="C54" s="102" t="str">
        <f t="shared" si="7"/>
        <v>FI-JR-09-F-KE</v>
      </c>
      <c r="D54" s="104" t="s">
        <v>1101</v>
      </c>
      <c r="E54" s="103" t="s">
        <v>426</v>
      </c>
      <c r="F54" s="93"/>
      <c r="G54" s="116">
        <v>0</v>
      </c>
      <c r="H54" s="105" t="str">
        <f t="shared" si="5"/>
        <v>FI-JR-09-F-SS</v>
      </c>
      <c r="I54" s="91" t="s">
        <v>1089</v>
      </c>
      <c r="J54" s="92" t="s">
        <v>1088</v>
      </c>
      <c r="K54" s="99">
        <v>0</v>
      </c>
      <c r="L54" s="95"/>
      <c r="M54" s="95"/>
      <c r="N54" s="95"/>
      <c r="O54" s="95"/>
      <c r="P54" s="95"/>
      <c r="R54" s="89"/>
      <c r="T54" s="11" t="str">
        <f t="shared" si="9"/>
        <v>G</v>
      </c>
    </row>
    <row r="55" spans="2:20" ht="25.5" x14ac:dyDescent="0.25">
      <c r="B55" s="90"/>
      <c r="C55" s="102" t="str">
        <f t="shared" si="7"/>
        <v>FI-JR-09-F-KP</v>
      </c>
      <c r="D55" s="104" t="s">
        <v>1090</v>
      </c>
      <c r="E55" s="103" t="s">
        <v>428</v>
      </c>
      <c r="F55" s="96"/>
      <c r="G55" s="116">
        <v>0</v>
      </c>
      <c r="H55" s="105" t="str">
        <f t="shared" si="5"/>
        <v>FI-JR-09-F-SY</v>
      </c>
      <c r="I55" s="91" t="s">
        <v>1109</v>
      </c>
      <c r="J55" s="92" t="s">
        <v>523</v>
      </c>
      <c r="K55" s="99">
        <v>0</v>
      </c>
      <c r="L55" s="95"/>
      <c r="M55" s="95"/>
      <c r="N55" s="95"/>
      <c r="O55" s="95"/>
      <c r="P55" s="95"/>
      <c r="R55" s="89"/>
      <c r="T55" s="11" t="str">
        <f t="shared" si="9"/>
        <v>G</v>
      </c>
    </row>
    <row r="56" spans="2:20" x14ac:dyDescent="0.25">
      <c r="B56" s="84"/>
      <c r="C56" s="84"/>
      <c r="F56" s="54"/>
      <c r="G56" s="193"/>
      <c r="H56" s="193"/>
      <c r="I56" s="193"/>
      <c r="J56" s="193"/>
      <c r="K56" s="193"/>
      <c r="L56" s="193"/>
      <c r="M56" s="193"/>
      <c r="N56" s="193"/>
      <c r="O56" s="193"/>
      <c r="P56" s="54"/>
      <c r="R56" s="89"/>
      <c r="T56" s="11"/>
    </row>
    <row r="57" spans="2:20" x14ac:dyDescent="0.25">
      <c r="B57" s="84"/>
      <c r="C57" s="84"/>
      <c r="F57" s="54"/>
      <c r="G57" s="84"/>
      <c r="H57" s="84"/>
      <c r="I57" s="84"/>
      <c r="J57" s="84"/>
      <c r="K57" s="84"/>
      <c r="L57" s="84"/>
      <c r="M57" s="84"/>
      <c r="N57" s="84"/>
      <c r="O57" s="84"/>
      <c r="P57" s="54"/>
      <c r="R57" s="89"/>
    </row>
    <row r="58" spans="2:20" ht="15" customHeight="1" x14ac:dyDescent="0.25">
      <c r="B58" s="15" t="s">
        <v>741</v>
      </c>
      <c r="D58" s="184" t="s">
        <v>880</v>
      </c>
      <c r="E58" s="184"/>
      <c r="F58" s="184"/>
      <c r="G58" s="184"/>
      <c r="H58" s="184"/>
      <c r="I58" s="184"/>
      <c r="J58" s="184"/>
      <c r="K58" s="184"/>
      <c r="L58" s="184"/>
      <c r="M58" s="184"/>
      <c r="N58" s="184"/>
      <c r="O58" s="184"/>
      <c r="P58" s="54"/>
      <c r="R58" s="16"/>
      <c r="T58" s="11" t="str">
        <f>IF(OR(AND(ISBLANK(R58),PR.50="Yes"),AND(PR.50&lt;&gt;"Yes",NOT(ISBLANK(R58)))),"R","G")</f>
        <v>G</v>
      </c>
    </row>
    <row r="59" spans="2:20" x14ac:dyDescent="0.25">
      <c r="B59" s="84"/>
      <c r="C59" s="84"/>
      <c r="F59" s="54"/>
      <c r="G59" s="84"/>
      <c r="H59" s="84"/>
      <c r="I59" s="84"/>
      <c r="J59" s="84"/>
      <c r="K59" s="84"/>
      <c r="L59" s="84"/>
      <c r="M59" s="84"/>
      <c r="N59" s="84"/>
      <c r="O59" s="84"/>
      <c r="P59" s="54"/>
      <c r="R59" s="89"/>
    </row>
    <row r="60" spans="2:20" ht="39.75" customHeight="1" x14ac:dyDescent="0.25">
      <c r="B60" s="15" t="s">
        <v>742</v>
      </c>
      <c r="D60" s="186" t="s">
        <v>1205</v>
      </c>
      <c r="E60" s="186"/>
      <c r="F60" s="186"/>
      <c r="G60" s="186"/>
      <c r="H60" s="186"/>
      <c r="I60" s="186"/>
      <c r="J60" s="186"/>
      <c r="K60" s="186"/>
      <c r="L60" s="186"/>
      <c r="M60" s="186"/>
      <c r="N60" s="186"/>
      <c r="O60" s="186"/>
      <c r="P60" s="52"/>
      <c r="R60" s="10"/>
    </row>
    <row r="61" spans="2:20" ht="52.5" customHeight="1" x14ac:dyDescent="0.25">
      <c r="D61" s="190" t="s">
        <v>1349</v>
      </c>
      <c r="E61" s="190"/>
      <c r="F61" s="190"/>
      <c r="G61" s="190"/>
      <c r="H61" s="190"/>
      <c r="I61" s="190"/>
      <c r="J61" s="190"/>
      <c r="K61" s="190"/>
      <c r="L61" s="190"/>
      <c r="M61" s="190"/>
      <c r="N61" s="190"/>
      <c r="O61" s="190"/>
      <c r="P61" s="190"/>
      <c r="R61" s="101"/>
    </row>
    <row r="62" spans="2:20" ht="15" customHeight="1" x14ac:dyDescent="0.25">
      <c r="B62" s="46" t="str">
        <f>B60&amp;"-M"</f>
        <v>FI-JR-06-M</v>
      </c>
      <c r="C62" s="46"/>
      <c r="D62" s="84"/>
      <c r="E62" s="189" t="s">
        <v>448</v>
      </c>
      <c r="F62" s="189"/>
      <c r="G62" s="189"/>
      <c r="H62" s="189"/>
      <c r="I62" s="189"/>
      <c r="J62" s="189"/>
      <c r="K62" s="189"/>
      <c r="L62" s="189"/>
      <c r="M62" s="189"/>
      <c r="N62" s="189"/>
      <c r="O62" s="189"/>
      <c r="P62" s="52"/>
      <c r="R62" s="67"/>
      <c r="T62" s="11" t="str">
        <f>IF(OR(AND($T$66="R",PR.50="Yes"),AND($T$66="R",PR.50&lt;&gt;"Yes")),"R","G")</f>
        <v>G</v>
      </c>
    </row>
    <row r="63" spans="2:20" ht="15" customHeight="1" x14ac:dyDescent="0.25">
      <c r="B63" s="46" t="str">
        <f>B60&amp;"-E"</f>
        <v>FI-JR-06-E</v>
      </c>
      <c r="C63" s="46"/>
      <c r="D63" s="84"/>
      <c r="E63" s="189" t="s">
        <v>1084</v>
      </c>
      <c r="F63" s="189"/>
      <c r="G63" s="189"/>
      <c r="H63" s="189"/>
      <c r="I63" s="189"/>
      <c r="J63" s="189"/>
      <c r="K63" s="189"/>
      <c r="L63" s="189"/>
      <c r="M63" s="189"/>
      <c r="N63" s="189"/>
      <c r="O63" s="189"/>
      <c r="P63" s="52"/>
      <c r="R63" s="67"/>
      <c r="T63" s="11" t="str">
        <f>IF(OR(AND($T$66="R",PR.50="Yes"),AND($T$66="R",PR.50&lt;&gt;"Yes")),"R","G")</f>
        <v>G</v>
      </c>
    </row>
    <row r="64" spans="2:20" ht="15" customHeight="1" x14ac:dyDescent="0.25">
      <c r="B64" s="46" t="str">
        <f>B60&amp;"-N"</f>
        <v>FI-JR-06-N</v>
      </c>
      <c r="C64" s="46"/>
      <c r="D64" s="84"/>
      <c r="E64" s="189" t="s">
        <v>1085</v>
      </c>
      <c r="F64" s="189"/>
      <c r="G64" s="189"/>
      <c r="H64" s="189"/>
      <c r="I64" s="189"/>
      <c r="J64" s="189"/>
      <c r="K64" s="189"/>
      <c r="L64" s="189"/>
      <c r="M64" s="189"/>
      <c r="N64" s="189"/>
      <c r="O64" s="189"/>
      <c r="P64" s="52"/>
      <c r="R64" s="67"/>
      <c r="T64" s="11" t="str">
        <f>IF(OR(AND($T$66="R",PR.50="Yes"),AND($T$66="R",PR.50&lt;&gt;"Yes")),"R","G")</f>
        <v>G</v>
      </c>
    </row>
    <row r="65" spans="2:20" ht="27" customHeight="1" x14ac:dyDescent="0.25">
      <c r="B65" s="46" t="str">
        <f>B60&amp;"-F"</f>
        <v>FI-JR-06-F</v>
      </c>
      <c r="C65" s="46"/>
      <c r="D65" s="84"/>
      <c r="E65" s="191" t="s">
        <v>1086</v>
      </c>
      <c r="F65" s="191"/>
      <c r="G65" s="191"/>
      <c r="H65" s="191"/>
      <c r="I65" s="191"/>
      <c r="J65" s="191"/>
      <c r="K65" s="191"/>
      <c r="L65" s="191"/>
      <c r="M65" s="191"/>
      <c r="N65" s="191"/>
      <c r="O65" s="191"/>
      <c r="P65" s="86"/>
      <c r="R65" s="67"/>
      <c r="T65" s="11" t="str">
        <f>IF(OR(AND($T$66="R",PR.50="Yes"),AND($T$66="R",PR.50&lt;&gt;"Yes")),"R","G")</f>
        <v>G</v>
      </c>
    </row>
    <row r="66" spans="2:20" x14ac:dyDescent="0.25">
      <c r="B66" s="107" t="str">
        <f>B60&amp;"-NAV"</f>
        <v>FI-JR-06-NAV</v>
      </c>
      <c r="C66" s="107"/>
      <c r="D66" s="84"/>
      <c r="E66" s="69"/>
      <c r="F66" s="69"/>
      <c r="G66" s="69"/>
      <c r="H66" s="69"/>
      <c r="I66" s="69"/>
      <c r="J66" s="69"/>
      <c r="K66" s="69"/>
      <c r="L66" s="69"/>
      <c r="M66" s="187" t="s">
        <v>1217</v>
      </c>
      <c r="N66" s="187"/>
      <c r="O66" s="187"/>
      <c r="P66" s="187"/>
      <c r="R66" s="61"/>
      <c r="T66" s="10" t="str" cm="1">
        <f t="array" ref="T66">IF(PR.50="Yes",IF(OR(AND(OR(ISBLANK(R62),ISBLANK(R63),ISBLANK(R64),ISBLANK(R65)),ISBLANK(R66)),AND(OR(NOT(ISBLANK(R62)),NOT(ISBLANK(R63)),NOT(ISBLANK(R64)),NOT(ISBLANK(R65))),R66="Not Available")),"R","G"),IF(PR.50&lt;&gt;"Yes",IF(OR(AND(NOT(ISBLANK(R62:R65)),NOT(ISBLANK(R66))),AND(AND(OR(ISBLANK(R62),ISBLANK(R63),ISBLANK(R64),ISBLANK(R65)),R66="Not Available"),AND(OR(NOT(ISBLANK(R62)),NOT(ISBLANK(R63)),NOT(ISBLANK(R64)),NOT(ISBLANK(R65)))),R66&lt;&gt;"Not Available")),"R","G")))</f>
        <v>G</v>
      </c>
    </row>
    <row r="67" spans="2:20" ht="9.75" customHeight="1" x14ac:dyDescent="0.25">
      <c r="B67" s="10"/>
      <c r="C67" s="10"/>
      <c r="D67" s="10"/>
      <c r="E67" s="10"/>
      <c r="F67" s="10"/>
      <c r="G67" s="10"/>
      <c r="H67" s="10"/>
      <c r="I67" s="10"/>
      <c r="J67" s="10"/>
      <c r="K67" s="10"/>
      <c r="L67" s="10"/>
      <c r="M67" s="10"/>
      <c r="N67" s="10"/>
      <c r="O67" s="10"/>
      <c r="P67" s="10"/>
      <c r="R67" s="10"/>
    </row>
    <row r="68" spans="2:20" ht="15" customHeight="1" x14ac:dyDescent="0.25">
      <c r="B68" s="87"/>
      <c r="C68" s="87"/>
      <c r="D68" s="192" t="str">
        <f>IF(R65=0,"",IF(SUM(G69:G81,K69:K81,O69:O75)=R65,"","The totals included next to each jurisdiction do not add up to "&amp;R65&amp;", please revise the figures."))</f>
        <v/>
      </c>
      <c r="E68" s="192"/>
      <c r="F68" s="192"/>
      <c r="G68" s="192"/>
      <c r="H68" s="192"/>
      <c r="I68" s="192"/>
      <c r="J68" s="192"/>
      <c r="K68" s="192"/>
      <c r="L68" s="192"/>
      <c r="M68" s="192"/>
      <c r="N68" s="192"/>
      <c r="O68" s="192"/>
      <c r="P68" s="88"/>
      <c r="R68" s="89"/>
      <c r="T68" s="11" t="str">
        <f>IF(D68="","G","R")</f>
        <v>G</v>
      </c>
    </row>
    <row r="69" spans="2:20" ht="25.5" x14ac:dyDescent="0.25">
      <c r="B69" s="90"/>
      <c r="C69" s="102" t="str">
        <f>$B$65&amp;"-"&amp;D69</f>
        <v>FI-JR-06-F-AF</v>
      </c>
      <c r="D69" s="91" t="s">
        <v>1093</v>
      </c>
      <c r="E69" s="103" t="s">
        <v>317</v>
      </c>
      <c r="F69" s="93"/>
      <c r="G69" s="116">
        <v>0</v>
      </c>
      <c r="H69" s="105" t="str">
        <f>$B$65&amp;"-"&amp;I69</f>
        <v>FI-JR-06-F-LA</v>
      </c>
      <c r="I69" s="91" t="s">
        <v>1317</v>
      </c>
      <c r="J69" s="92" t="s">
        <v>1312</v>
      </c>
      <c r="K69" s="116">
        <v>0</v>
      </c>
      <c r="L69" s="105" t="str">
        <f>$B$65&amp;"-"&amp;M69</f>
        <v>FI-JR-06-F-TZ</v>
      </c>
      <c r="M69" s="91" t="s">
        <v>1110</v>
      </c>
      <c r="N69" s="92" t="s">
        <v>526</v>
      </c>
      <c r="O69" s="99">
        <v>0</v>
      </c>
      <c r="P69" s="95"/>
      <c r="R69" s="89"/>
      <c r="T69" s="11" t="str">
        <f>IF(OR(AND(OR(ISBLANK(G69),ISBLANK(K69),ISBLANK(O69)),$R$65&gt;0),AND($R$65&lt;=0,OR(OR(G69&lt;&gt;0,K69&lt;&gt;0,O69&lt;&gt;0)))),"R","G")</f>
        <v>G</v>
      </c>
    </row>
    <row r="70" spans="2:20" x14ac:dyDescent="0.25">
      <c r="B70" s="90"/>
      <c r="C70" s="102" t="str">
        <f t="shared" ref="C70:C81" si="10">$B$65&amp;"-"&amp;D70</f>
        <v>FI-JR-06-F-DZ</v>
      </c>
      <c r="D70" s="91" t="s">
        <v>1094</v>
      </c>
      <c r="E70" s="103" t="s">
        <v>319</v>
      </c>
      <c r="F70" s="93"/>
      <c r="G70" s="116">
        <v>0</v>
      </c>
      <c r="H70" s="105" t="str">
        <f t="shared" ref="H70:H81" si="11">$B$65&amp;"-"&amp;I70</f>
        <v>FI-JR-06-F-LB</v>
      </c>
      <c r="I70" s="91" t="s">
        <v>1102</v>
      </c>
      <c r="J70" s="92" t="s">
        <v>434</v>
      </c>
      <c r="K70" s="116">
        <v>0</v>
      </c>
      <c r="L70" s="105" t="str">
        <f t="shared" ref="L70:L75" si="12">$B$65&amp;"-"&amp;M70</f>
        <v>FI-JR-06-F-TT</v>
      </c>
      <c r="M70" s="91" t="s">
        <v>1111</v>
      </c>
      <c r="N70" s="92" t="s">
        <v>532</v>
      </c>
      <c r="O70" s="99">
        <v>0</v>
      </c>
      <c r="P70" s="95"/>
      <c r="R70" s="89"/>
      <c r="T70" s="11" t="str">
        <f t="shared" ref="T70:T75" si="13">IF(OR(AND(OR(ISBLANK(G70),ISBLANK(K70),ISBLANK(O70)),$R$65&gt;0),AND($R$65&lt;=0,OR(OR(G70&lt;&gt;0,K70&lt;&gt;0,O70&lt;&gt;0)))),"R","G")</f>
        <v>G</v>
      </c>
    </row>
    <row r="71" spans="2:20" x14ac:dyDescent="0.25">
      <c r="B71" s="90"/>
      <c r="C71" s="102" t="str">
        <f t="shared" si="10"/>
        <v>FI-JR-06-F-AO</v>
      </c>
      <c r="D71" s="91" t="s">
        <v>1095</v>
      </c>
      <c r="E71" s="103" t="s">
        <v>322</v>
      </c>
      <c r="F71" s="93"/>
      <c r="G71" s="116">
        <v>0</v>
      </c>
      <c r="H71" s="105" t="str">
        <f t="shared" si="11"/>
        <v>FI-JR-06-F-ML</v>
      </c>
      <c r="I71" s="91" t="s">
        <v>1103</v>
      </c>
      <c r="J71" s="92" t="s">
        <v>447</v>
      </c>
      <c r="K71" s="116">
        <v>0</v>
      </c>
      <c r="L71" s="105" t="str">
        <f t="shared" si="12"/>
        <v>FI-JR-06-F-VU</v>
      </c>
      <c r="M71" s="91" t="s">
        <v>1112</v>
      </c>
      <c r="N71" s="92" t="s">
        <v>546</v>
      </c>
      <c r="O71" s="99">
        <v>0</v>
      </c>
      <c r="P71" s="95"/>
      <c r="R71" s="89"/>
      <c r="T71" s="11" t="str">
        <f>IF(OR(AND(OR(ISBLANK(G71),ISBLANK(K71),ISBLANK(O71)),$R$65&gt;0),AND($R$65&lt;=0,OR(OR(G71&lt;&gt;0,K71&lt;&gt;0,O71&lt;&gt;0)))),"R","G")</f>
        <v>G</v>
      </c>
    </row>
    <row r="72" spans="2:20" x14ac:dyDescent="0.25">
      <c r="B72" s="90"/>
      <c r="C72" s="102" t="str">
        <f t="shared" si="10"/>
        <v>FI-JR-06-F-BO</v>
      </c>
      <c r="D72" s="91" t="s">
        <v>1316</v>
      </c>
      <c r="E72" s="103" t="s">
        <v>342</v>
      </c>
      <c r="F72" s="93"/>
      <c r="G72" s="116">
        <v>0</v>
      </c>
      <c r="H72" s="105" t="str">
        <f t="shared" si="11"/>
        <v>FI-JR-06-F-MN</v>
      </c>
      <c r="I72" s="91" t="s">
        <v>1315</v>
      </c>
      <c r="J72" s="92" t="s">
        <v>457</v>
      </c>
      <c r="K72" s="116">
        <v>0</v>
      </c>
      <c r="L72" s="105" t="str">
        <f t="shared" si="12"/>
        <v>FI-JR-06-F-VE</v>
      </c>
      <c r="M72" s="91" t="s">
        <v>1113</v>
      </c>
      <c r="N72" s="92" t="s">
        <v>547</v>
      </c>
      <c r="O72" s="99">
        <v>0</v>
      </c>
      <c r="P72" s="95"/>
      <c r="R72" s="89"/>
      <c r="T72" s="11" t="str">
        <f t="shared" si="13"/>
        <v>G</v>
      </c>
    </row>
    <row r="73" spans="2:20" x14ac:dyDescent="0.25">
      <c r="B73" s="90"/>
      <c r="C73" s="102" t="str">
        <f t="shared" si="10"/>
        <v>FI-JR-06-F-BG</v>
      </c>
      <c r="D73" s="91" t="s">
        <v>1096</v>
      </c>
      <c r="E73" s="103" t="s">
        <v>349</v>
      </c>
      <c r="F73" s="93"/>
      <c r="G73" s="116">
        <v>0</v>
      </c>
      <c r="H73" s="105" t="str">
        <f t="shared" si="11"/>
        <v>FI-JR-06-F-MZ</v>
      </c>
      <c r="I73" s="91" t="s">
        <v>1104</v>
      </c>
      <c r="J73" s="92" t="s">
        <v>461</v>
      </c>
      <c r="K73" s="116">
        <v>0</v>
      </c>
      <c r="L73" s="105" t="str">
        <f t="shared" si="12"/>
        <v>FI-JR-06-F-VN</v>
      </c>
      <c r="M73" s="91" t="s">
        <v>1114</v>
      </c>
      <c r="N73" s="92" t="s">
        <v>1313</v>
      </c>
      <c r="O73" s="99">
        <v>0</v>
      </c>
      <c r="P73" s="95"/>
      <c r="R73" s="89"/>
      <c r="T73" s="11" t="str">
        <f t="shared" si="13"/>
        <v>G</v>
      </c>
    </row>
    <row r="74" spans="2:20" x14ac:dyDescent="0.25">
      <c r="B74" s="90"/>
      <c r="C74" s="102" t="str">
        <f t="shared" si="10"/>
        <v>FI-JR-06-F-BF</v>
      </c>
      <c r="D74" s="91" t="s">
        <v>1097</v>
      </c>
      <c r="E74" s="103" t="s">
        <v>350</v>
      </c>
      <c r="F74" s="93"/>
      <c r="G74" s="116">
        <v>0</v>
      </c>
      <c r="H74" s="105" t="str">
        <f t="shared" si="11"/>
        <v>FI-JR-06-F-MM</v>
      </c>
      <c r="I74" s="91" t="s">
        <v>1105</v>
      </c>
      <c r="J74" s="92" t="s">
        <v>462</v>
      </c>
      <c r="K74" s="116">
        <v>0</v>
      </c>
      <c r="L74" s="105" t="str">
        <f t="shared" si="12"/>
        <v>FI-JR-06-F-VI</v>
      </c>
      <c r="M74" s="91" t="s">
        <v>1319</v>
      </c>
      <c r="N74" s="92" t="s">
        <v>1314</v>
      </c>
      <c r="O74" s="99">
        <v>0</v>
      </c>
      <c r="P74" s="95"/>
      <c r="R74" s="89"/>
      <c r="T74" s="11" t="str">
        <f t="shared" si="13"/>
        <v>G</v>
      </c>
    </row>
    <row r="75" spans="2:20" x14ac:dyDescent="0.25">
      <c r="B75" s="90"/>
      <c r="C75" s="102" t="str">
        <f t="shared" si="10"/>
        <v>FI-JR-06-F-CM</v>
      </c>
      <c r="D75" s="91" t="s">
        <v>1098</v>
      </c>
      <c r="E75" s="103" t="s">
        <v>353</v>
      </c>
      <c r="F75" s="93"/>
      <c r="G75" s="116">
        <v>0</v>
      </c>
      <c r="H75" s="105" t="str">
        <f t="shared" si="11"/>
        <v>FI-JR-06-F-NA</v>
      </c>
      <c r="I75" s="91" t="s">
        <v>1106</v>
      </c>
      <c r="J75" s="92" t="s">
        <v>463</v>
      </c>
      <c r="K75" s="116">
        <v>0</v>
      </c>
      <c r="L75" s="105" t="str">
        <f t="shared" si="12"/>
        <v>FI-JR-06-F-YE</v>
      </c>
      <c r="M75" s="91" t="s">
        <v>1115</v>
      </c>
      <c r="N75" s="92" t="s">
        <v>553</v>
      </c>
      <c r="O75" s="99">
        <v>0</v>
      </c>
      <c r="P75" s="95"/>
      <c r="R75" s="89"/>
      <c r="T75" s="11" t="str">
        <f t="shared" si="13"/>
        <v>G</v>
      </c>
    </row>
    <row r="76" spans="2:20" ht="38.25" x14ac:dyDescent="0.25">
      <c r="B76" s="90"/>
      <c r="C76" s="102" t="str">
        <f t="shared" si="10"/>
        <v>FI-JR-06-F-CD</v>
      </c>
      <c r="D76" s="91" t="s">
        <v>1099</v>
      </c>
      <c r="E76" s="103" t="s">
        <v>366</v>
      </c>
      <c r="F76" s="93"/>
      <c r="G76" s="116">
        <v>0</v>
      </c>
      <c r="H76" s="105" t="str">
        <f t="shared" si="11"/>
        <v>FI-JR-06-F-NP</v>
      </c>
      <c r="I76" s="91" t="s">
        <v>1318</v>
      </c>
      <c r="J76" s="92" t="s">
        <v>465</v>
      </c>
      <c r="K76" s="116">
        <v>0</v>
      </c>
      <c r="L76" s="95"/>
      <c r="M76" s="95"/>
      <c r="N76" s="95"/>
      <c r="O76" s="95"/>
      <c r="P76" s="95"/>
      <c r="R76" s="89"/>
      <c r="T76" s="11" t="str">
        <f t="shared" ref="T76:T81" si="14">IF(OR(AND(OR(ISBLANK(G76),ISBLANK(K76)),$R$65&gt;0),AND($R$65&lt;=0,OR(OR(G76&lt;&gt;0,K76&lt;&gt;0)))),"R","G")</f>
        <v>G</v>
      </c>
    </row>
    <row r="77" spans="2:20" x14ac:dyDescent="0.25">
      <c r="B77" s="90"/>
      <c r="C77" s="102" t="str">
        <f t="shared" si="10"/>
        <v>FI-JR-06-F-CI</v>
      </c>
      <c r="D77" s="91" t="s">
        <v>1091</v>
      </c>
      <c r="E77" s="103" t="s">
        <v>369</v>
      </c>
      <c r="F77" s="93"/>
      <c r="G77" s="116">
        <v>0</v>
      </c>
      <c r="H77" s="105" t="str">
        <f t="shared" si="11"/>
        <v>FI-JR-06-F-NG</v>
      </c>
      <c r="I77" s="91" t="s">
        <v>1107</v>
      </c>
      <c r="J77" s="92" t="s">
        <v>472</v>
      </c>
      <c r="K77" s="116">
        <v>0</v>
      </c>
      <c r="L77" s="95"/>
      <c r="M77" s="95"/>
      <c r="N77" s="95"/>
      <c r="O77" s="95"/>
      <c r="P77" s="95"/>
      <c r="R77" s="89"/>
      <c r="T77" s="11" t="str">
        <f t="shared" si="14"/>
        <v>G</v>
      </c>
    </row>
    <row r="78" spans="2:20" x14ac:dyDescent="0.25">
      <c r="B78" s="90"/>
      <c r="C78" s="102" t="str">
        <f t="shared" si="10"/>
        <v>FI-JR-06-F-HT</v>
      </c>
      <c r="D78" s="91" t="s">
        <v>1100</v>
      </c>
      <c r="E78" s="103" t="s">
        <v>408</v>
      </c>
      <c r="F78" s="93"/>
      <c r="G78" s="116">
        <v>0</v>
      </c>
      <c r="H78" s="105" t="str">
        <f t="shared" si="11"/>
        <v>FI-JR-06-F-RU</v>
      </c>
      <c r="I78" s="91" t="s">
        <v>1321</v>
      </c>
      <c r="J78" s="92" t="s">
        <v>1320</v>
      </c>
      <c r="K78" s="116">
        <v>0</v>
      </c>
      <c r="L78" s="95"/>
      <c r="M78" s="95"/>
      <c r="N78" s="95"/>
      <c r="O78" s="95"/>
      <c r="P78" s="95"/>
      <c r="R78" s="89"/>
      <c r="T78" s="11" t="str">
        <f t="shared" si="14"/>
        <v>G</v>
      </c>
    </row>
    <row r="79" spans="2:20" ht="25.5" x14ac:dyDescent="0.25">
      <c r="B79" s="90"/>
      <c r="C79" s="102" t="str">
        <f t="shared" si="10"/>
        <v>FI-JR-06-F-IR</v>
      </c>
      <c r="D79" s="91" t="s">
        <v>912</v>
      </c>
      <c r="E79" s="103" t="s">
        <v>417</v>
      </c>
      <c r="F79" s="93"/>
      <c r="G79" s="116">
        <v>0</v>
      </c>
      <c r="H79" s="105" t="str">
        <f t="shared" si="11"/>
        <v>FI-JR-06-F-ZA</v>
      </c>
      <c r="I79" s="91" t="s">
        <v>1108</v>
      </c>
      <c r="J79" s="92" t="s">
        <v>513</v>
      </c>
      <c r="K79" s="116">
        <v>0</v>
      </c>
      <c r="L79" s="95"/>
      <c r="M79" s="95"/>
      <c r="N79" s="95"/>
      <c r="O79" s="95"/>
      <c r="P79" s="95"/>
      <c r="R79" s="89"/>
      <c r="T79" s="11" t="str">
        <f t="shared" si="14"/>
        <v>G</v>
      </c>
    </row>
    <row r="80" spans="2:20" x14ac:dyDescent="0.25">
      <c r="B80" s="90"/>
      <c r="C80" s="102" t="str">
        <f t="shared" si="10"/>
        <v>FI-JR-06-F-KE</v>
      </c>
      <c r="D80" s="91" t="s">
        <v>1101</v>
      </c>
      <c r="E80" s="103" t="s">
        <v>426</v>
      </c>
      <c r="F80" s="93"/>
      <c r="G80" s="116">
        <v>0</v>
      </c>
      <c r="H80" s="105" t="str">
        <f t="shared" si="11"/>
        <v>FI-JR-06-F-SS</v>
      </c>
      <c r="I80" s="91" t="s">
        <v>1089</v>
      </c>
      <c r="J80" s="92" t="s">
        <v>1088</v>
      </c>
      <c r="K80" s="99">
        <v>0</v>
      </c>
      <c r="L80" s="94"/>
      <c r="M80" s="95"/>
      <c r="N80" s="95"/>
      <c r="O80" s="95"/>
      <c r="P80" s="95"/>
      <c r="R80" s="89"/>
      <c r="T80" s="11" t="str">
        <f t="shared" si="14"/>
        <v>G</v>
      </c>
    </row>
    <row r="81" spans="2:20" ht="25.5" x14ac:dyDescent="0.25">
      <c r="B81" s="90"/>
      <c r="C81" s="102" t="str">
        <f t="shared" si="10"/>
        <v>FI-JR-06-F-KP</v>
      </c>
      <c r="D81" s="91" t="s">
        <v>1090</v>
      </c>
      <c r="E81" s="103" t="s">
        <v>428</v>
      </c>
      <c r="F81" s="96"/>
      <c r="G81" s="116">
        <v>0</v>
      </c>
      <c r="H81" s="105" t="str">
        <f t="shared" si="11"/>
        <v>FI-JR-06-F-SY</v>
      </c>
      <c r="I81" s="91" t="s">
        <v>1109</v>
      </c>
      <c r="J81" s="92" t="s">
        <v>523</v>
      </c>
      <c r="K81" s="99">
        <v>0</v>
      </c>
      <c r="L81" s="94"/>
      <c r="M81" s="95"/>
      <c r="N81" s="95"/>
      <c r="O81" s="95"/>
      <c r="P81" s="95"/>
      <c r="R81" s="89"/>
      <c r="T81" s="11" t="str">
        <f t="shared" si="14"/>
        <v>G</v>
      </c>
    </row>
    <row r="82" spans="2:20" x14ac:dyDescent="0.25">
      <c r="B82" s="84"/>
      <c r="C82" s="84"/>
      <c r="F82" s="54"/>
      <c r="G82" s="193"/>
      <c r="H82" s="193"/>
      <c r="I82" s="193"/>
      <c r="J82" s="193"/>
      <c r="K82" s="193"/>
      <c r="L82" s="193"/>
      <c r="M82" s="193"/>
      <c r="N82" s="193"/>
      <c r="O82" s="193"/>
      <c r="P82" s="54"/>
      <c r="R82" s="89"/>
      <c r="T82" s="11"/>
    </row>
    <row r="83" spans="2:20" x14ac:dyDescent="0.25">
      <c r="B83" s="15" t="s">
        <v>743</v>
      </c>
      <c r="D83" s="186" t="s">
        <v>1117</v>
      </c>
      <c r="E83" s="186"/>
      <c r="F83" s="186"/>
      <c r="G83" s="186"/>
      <c r="H83" s="186"/>
      <c r="I83" s="186"/>
      <c r="J83" s="186"/>
      <c r="K83" s="186"/>
      <c r="L83" s="186"/>
      <c r="M83" s="186"/>
      <c r="N83" s="186"/>
      <c r="O83" s="186"/>
      <c r="P83" s="52"/>
      <c r="R83" s="10"/>
    </row>
    <row r="84" spans="2:20" ht="52.5" customHeight="1" x14ac:dyDescent="0.25">
      <c r="D84" s="190" t="s">
        <v>1349</v>
      </c>
      <c r="E84" s="190"/>
      <c r="F84" s="190"/>
      <c r="G84" s="190"/>
      <c r="H84" s="190"/>
      <c r="I84" s="190"/>
      <c r="J84" s="190"/>
      <c r="K84" s="190"/>
      <c r="L84" s="190"/>
      <c r="M84" s="190"/>
      <c r="N84" s="190"/>
      <c r="O84" s="190"/>
      <c r="P84" s="190"/>
      <c r="R84" s="101"/>
    </row>
    <row r="85" spans="2:20" ht="15" customHeight="1" x14ac:dyDescent="0.25">
      <c r="B85" s="46" t="str">
        <f>B83&amp;"-M"</f>
        <v>FI-JR-69-M</v>
      </c>
      <c r="C85" s="46"/>
      <c r="D85" s="84"/>
      <c r="E85" s="189" t="s">
        <v>448</v>
      </c>
      <c r="F85" s="189"/>
      <c r="G85" s="189"/>
      <c r="H85" s="189"/>
      <c r="I85" s="189"/>
      <c r="J85" s="189"/>
      <c r="K85" s="189"/>
      <c r="L85" s="189"/>
      <c r="M85" s="189"/>
      <c r="N85" s="189"/>
      <c r="O85" s="189"/>
      <c r="P85" s="52"/>
      <c r="R85" s="67"/>
      <c r="T85" s="11" t="str">
        <f>IF(OR(AND(ISBLANK(R85),PR.27&gt;0),AND(PR.27&lt;=0,NOT(ISBLANK(R85)))),"R","G")</f>
        <v>G</v>
      </c>
    </row>
    <row r="86" spans="2:20" ht="15" customHeight="1" x14ac:dyDescent="0.25">
      <c r="B86" s="46" t="str">
        <f>B83&amp;"-E"</f>
        <v>FI-JR-69-E</v>
      </c>
      <c r="C86" s="46"/>
      <c r="D86" s="84"/>
      <c r="E86" s="189" t="s">
        <v>1084</v>
      </c>
      <c r="F86" s="189"/>
      <c r="G86" s="189"/>
      <c r="H86" s="189"/>
      <c r="I86" s="189"/>
      <c r="J86" s="189"/>
      <c r="K86" s="189"/>
      <c r="L86" s="189"/>
      <c r="M86" s="189"/>
      <c r="N86" s="189"/>
      <c r="O86" s="189"/>
      <c r="P86" s="52"/>
      <c r="R86" s="67"/>
      <c r="T86" s="11" t="str">
        <f>IF(OR(AND(ISBLANK(R86),PR.27&gt;0),AND(PR.27&lt;=0,NOT(ISBLANK(R86)))),"R","G")</f>
        <v>G</v>
      </c>
    </row>
    <row r="87" spans="2:20" ht="15" customHeight="1" x14ac:dyDescent="0.25">
      <c r="B87" s="46" t="str">
        <f>B83&amp;"-N"</f>
        <v>FI-JR-69-N</v>
      </c>
      <c r="C87" s="46"/>
      <c r="D87" s="84"/>
      <c r="E87" s="189" t="s">
        <v>1085</v>
      </c>
      <c r="F87" s="189"/>
      <c r="G87" s="189"/>
      <c r="H87" s="189"/>
      <c r="I87" s="189"/>
      <c r="J87" s="189"/>
      <c r="K87" s="189"/>
      <c r="L87" s="189"/>
      <c r="M87" s="189"/>
      <c r="N87" s="189"/>
      <c r="O87" s="189"/>
      <c r="P87" s="52"/>
      <c r="R87" s="67"/>
      <c r="T87" s="11" t="str">
        <f>IF(OR(AND(ISBLANK(R87),PR.27&gt;0),AND(PR.27&lt;=0,NOT(ISBLANK(R87)))),"R","G")</f>
        <v>G</v>
      </c>
    </row>
    <row r="88" spans="2:20" ht="27" customHeight="1" x14ac:dyDescent="0.25">
      <c r="B88" s="46" t="str">
        <f>B83&amp;"-F"</f>
        <v>FI-JR-69-F</v>
      </c>
      <c r="C88" s="46"/>
      <c r="D88" s="84"/>
      <c r="E88" s="191" t="s">
        <v>1086</v>
      </c>
      <c r="F88" s="191"/>
      <c r="G88" s="191"/>
      <c r="H88" s="191"/>
      <c r="I88" s="191"/>
      <c r="J88" s="191"/>
      <c r="K88" s="191"/>
      <c r="L88" s="191"/>
      <c r="M88" s="191"/>
      <c r="N88" s="191"/>
      <c r="O88" s="191"/>
      <c r="P88" s="86"/>
      <c r="R88" s="67"/>
      <c r="T88" s="11" t="str">
        <f>IF(OR(AND(ISBLANK(R88),PR.27&gt;0),AND(PR.27&lt;=0,NOT(ISBLANK(R88)))),"R","G")</f>
        <v>G</v>
      </c>
    </row>
    <row r="89" spans="2:20" ht="9.75" customHeight="1" x14ac:dyDescent="0.25">
      <c r="B89" s="10"/>
      <c r="C89" s="10"/>
      <c r="D89" s="10"/>
      <c r="E89" s="10"/>
      <c r="F89" s="10"/>
      <c r="G89" s="10"/>
      <c r="H89" s="10"/>
      <c r="I89" s="10"/>
      <c r="J89" s="10"/>
      <c r="K89" s="10"/>
      <c r="L89" s="10"/>
      <c r="M89" s="10"/>
      <c r="N89" s="10"/>
      <c r="O89" s="10"/>
      <c r="P89" s="10"/>
      <c r="R89" s="10"/>
    </row>
    <row r="90" spans="2:20" ht="15" customHeight="1" x14ac:dyDescent="0.25">
      <c r="B90" s="87"/>
      <c r="C90" s="87"/>
      <c r="D90" s="192" t="str">
        <f>IF(R88=0,"",IF(SUM(G91:G103,K91:K103,O91:O97)=R88,"","The totals included next to each jurisdiction do not add up to "&amp;R88&amp;", please revise the figures."))</f>
        <v/>
      </c>
      <c r="E90" s="192"/>
      <c r="F90" s="192"/>
      <c r="G90" s="192"/>
      <c r="H90" s="192"/>
      <c r="I90" s="192"/>
      <c r="J90" s="192"/>
      <c r="K90" s="192"/>
      <c r="L90" s="192"/>
      <c r="M90" s="192"/>
      <c r="N90" s="192"/>
      <c r="O90" s="192"/>
      <c r="P90" s="88"/>
      <c r="R90" s="89"/>
      <c r="T90" s="11" t="str">
        <f>IF(D90="","G","R")</f>
        <v>G</v>
      </c>
    </row>
    <row r="91" spans="2:20" ht="25.5" x14ac:dyDescent="0.25">
      <c r="B91" s="90"/>
      <c r="C91" s="102" t="str">
        <f>$B$88&amp;"-"&amp;D91</f>
        <v>FI-JR-69-F-AF</v>
      </c>
      <c r="D91" s="91" t="s">
        <v>1093</v>
      </c>
      <c r="E91" s="103" t="s">
        <v>317</v>
      </c>
      <c r="F91" s="93"/>
      <c r="G91" s="116">
        <v>0</v>
      </c>
      <c r="H91" s="105" t="str">
        <f>$B$88&amp;"-"&amp;I91</f>
        <v>FI-JR-69-F-LA</v>
      </c>
      <c r="I91" s="91" t="s">
        <v>1317</v>
      </c>
      <c r="J91" s="92" t="s">
        <v>1312</v>
      </c>
      <c r="K91" s="116">
        <v>0</v>
      </c>
      <c r="L91" s="105" t="str">
        <f>$B$88&amp;"-"&amp;M91</f>
        <v>FI-JR-69-F-TZ</v>
      </c>
      <c r="M91" s="91" t="s">
        <v>1110</v>
      </c>
      <c r="N91" s="92" t="s">
        <v>526</v>
      </c>
      <c r="O91" s="99">
        <v>0</v>
      </c>
      <c r="P91" s="95"/>
      <c r="R91" s="89"/>
      <c r="T91" s="11" t="str">
        <f>IF(OR(AND(OR(ISBLANK(G91),ISBLANK(K91),ISBLANK(O91)),$R$88&gt;0),AND($R$88&lt;=0,OR(OR(G91&lt;&gt;0,K91&lt;&gt;0,O91&lt;&gt;0)))),"R","G")</f>
        <v>G</v>
      </c>
    </row>
    <row r="92" spans="2:20" x14ac:dyDescent="0.25">
      <c r="B92" s="90"/>
      <c r="C92" s="102" t="str">
        <f t="shared" ref="C92:C103" si="15">$B$88&amp;"-"&amp;D92</f>
        <v>FI-JR-69-F-DZ</v>
      </c>
      <c r="D92" s="91" t="s">
        <v>1094</v>
      </c>
      <c r="E92" s="103" t="s">
        <v>319</v>
      </c>
      <c r="F92" s="93"/>
      <c r="G92" s="116">
        <v>0</v>
      </c>
      <c r="H92" s="105" t="str">
        <f t="shared" ref="H92:H103" si="16">$B$88&amp;"-"&amp;I92</f>
        <v>FI-JR-69-F-LB</v>
      </c>
      <c r="I92" s="91" t="s">
        <v>1102</v>
      </c>
      <c r="J92" s="92" t="s">
        <v>434</v>
      </c>
      <c r="K92" s="116">
        <v>0</v>
      </c>
      <c r="L92" s="105" t="str">
        <f t="shared" ref="L92:L97" si="17">$B$88&amp;"-"&amp;M92</f>
        <v>FI-JR-69-F-TT</v>
      </c>
      <c r="M92" s="91" t="s">
        <v>1111</v>
      </c>
      <c r="N92" s="92" t="s">
        <v>532</v>
      </c>
      <c r="O92" s="99">
        <v>0</v>
      </c>
      <c r="P92" s="95"/>
      <c r="R92" s="89"/>
      <c r="T92" s="11" t="str">
        <f t="shared" ref="T92:T97" si="18">IF(OR(AND(OR(ISBLANK(G92),ISBLANK(K92),ISBLANK(O92)),$R$88&gt;0),AND($R$88&lt;=0,OR(OR(G92&lt;&gt;0,K92&lt;&gt;0,O92&lt;&gt;0)))),"R","G")</f>
        <v>G</v>
      </c>
    </row>
    <row r="93" spans="2:20" x14ac:dyDescent="0.25">
      <c r="B93" s="90"/>
      <c r="C93" s="102" t="str">
        <f t="shared" si="15"/>
        <v>FI-JR-69-F-AO</v>
      </c>
      <c r="D93" s="91" t="s">
        <v>1095</v>
      </c>
      <c r="E93" s="103" t="s">
        <v>322</v>
      </c>
      <c r="F93" s="93"/>
      <c r="G93" s="116">
        <v>0</v>
      </c>
      <c r="H93" s="105" t="str">
        <f t="shared" si="16"/>
        <v>FI-JR-69-F-ML</v>
      </c>
      <c r="I93" s="91" t="s">
        <v>1103</v>
      </c>
      <c r="J93" s="92" t="s">
        <v>447</v>
      </c>
      <c r="K93" s="116">
        <v>0</v>
      </c>
      <c r="L93" s="105" t="str">
        <f t="shared" si="17"/>
        <v>FI-JR-69-F-VU</v>
      </c>
      <c r="M93" s="91" t="s">
        <v>1112</v>
      </c>
      <c r="N93" s="92" t="s">
        <v>546</v>
      </c>
      <c r="O93" s="99">
        <v>0</v>
      </c>
      <c r="P93" s="95"/>
      <c r="R93" s="89"/>
      <c r="T93" s="11" t="str">
        <f t="shared" si="18"/>
        <v>G</v>
      </c>
    </row>
    <row r="94" spans="2:20" x14ac:dyDescent="0.25">
      <c r="B94" s="90"/>
      <c r="C94" s="102" t="str">
        <f t="shared" si="15"/>
        <v>FI-JR-69-F-BO</v>
      </c>
      <c r="D94" s="91" t="s">
        <v>1316</v>
      </c>
      <c r="E94" s="103" t="s">
        <v>342</v>
      </c>
      <c r="F94" s="93"/>
      <c r="G94" s="116">
        <v>0</v>
      </c>
      <c r="H94" s="105" t="str">
        <f t="shared" si="16"/>
        <v>FI-JR-69-F-MN</v>
      </c>
      <c r="I94" s="91" t="s">
        <v>1315</v>
      </c>
      <c r="J94" s="92" t="s">
        <v>457</v>
      </c>
      <c r="K94" s="116">
        <v>0</v>
      </c>
      <c r="L94" s="105" t="str">
        <f t="shared" si="17"/>
        <v>FI-JR-69-F-VE</v>
      </c>
      <c r="M94" s="91" t="s">
        <v>1113</v>
      </c>
      <c r="N94" s="92" t="s">
        <v>547</v>
      </c>
      <c r="O94" s="99">
        <v>0</v>
      </c>
      <c r="P94" s="95"/>
      <c r="R94" s="89"/>
      <c r="T94" s="11" t="str">
        <f t="shared" si="18"/>
        <v>G</v>
      </c>
    </row>
    <row r="95" spans="2:20" x14ac:dyDescent="0.25">
      <c r="B95" s="90"/>
      <c r="C95" s="102" t="str">
        <f t="shared" si="15"/>
        <v>FI-JR-69-F-BG</v>
      </c>
      <c r="D95" s="91" t="s">
        <v>1096</v>
      </c>
      <c r="E95" s="103" t="s">
        <v>349</v>
      </c>
      <c r="F95" s="93"/>
      <c r="G95" s="116">
        <v>0</v>
      </c>
      <c r="H95" s="105" t="str">
        <f t="shared" si="16"/>
        <v>FI-JR-69-F-MZ</v>
      </c>
      <c r="I95" s="91" t="s">
        <v>1104</v>
      </c>
      <c r="J95" s="92" t="s">
        <v>461</v>
      </c>
      <c r="K95" s="116">
        <v>0</v>
      </c>
      <c r="L95" s="105" t="str">
        <f t="shared" si="17"/>
        <v>FI-JR-69-F-VN</v>
      </c>
      <c r="M95" s="91" t="s">
        <v>1114</v>
      </c>
      <c r="N95" s="92" t="s">
        <v>1313</v>
      </c>
      <c r="O95" s="99">
        <v>0</v>
      </c>
      <c r="P95" s="95"/>
      <c r="R95" s="89"/>
      <c r="T95" s="11" t="str">
        <f t="shared" si="18"/>
        <v>G</v>
      </c>
    </row>
    <row r="96" spans="2:20" x14ac:dyDescent="0.25">
      <c r="B96" s="90"/>
      <c r="C96" s="102" t="str">
        <f>$B$88&amp;"-"&amp;D96</f>
        <v>FI-JR-69-F-BF</v>
      </c>
      <c r="D96" s="91" t="s">
        <v>1097</v>
      </c>
      <c r="E96" s="103" t="s">
        <v>350</v>
      </c>
      <c r="F96" s="93"/>
      <c r="G96" s="116">
        <v>0</v>
      </c>
      <c r="H96" s="105" t="str">
        <f t="shared" si="16"/>
        <v>FI-JR-69-F-MM</v>
      </c>
      <c r="I96" s="91" t="s">
        <v>1105</v>
      </c>
      <c r="J96" s="92" t="s">
        <v>462</v>
      </c>
      <c r="K96" s="116">
        <v>0</v>
      </c>
      <c r="L96" s="105" t="str">
        <f t="shared" si="17"/>
        <v>FI-JR-69-F-VI</v>
      </c>
      <c r="M96" s="91" t="s">
        <v>1319</v>
      </c>
      <c r="N96" s="92" t="s">
        <v>1314</v>
      </c>
      <c r="O96" s="99">
        <v>0</v>
      </c>
      <c r="P96" s="95"/>
      <c r="R96" s="89"/>
      <c r="T96" s="11" t="str">
        <f t="shared" si="18"/>
        <v>G</v>
      </c>
    </row>
    <row r="97" spans="2:20" x14ac:dyDescent="0.25">
      <c r="B97" s="90"/>
      <c r="C97" s="102" t="str">
        <f t="shared" si="15"/>
        <v>FI-JR-69-F-CM</v>
      </c>
      <c r="D97" s="91" t="s">
        <v>1098</v>
      </c>
      <c r="E97" s="103" t="s">
        <v>353</v>
      </c>
      <c r="F97" s="93"/>
      <c r="G97" s="116">
        <v>0</v>
      </c>
      <c r="H97" s="105" t="str">
        <f t="shared" si="16"/>
        <v>FI-JR-69-F-NA</v>
      </c>
      <c r="I97" s="91" t="s">
        <v>1106</v>
      </c>
      <c r="J97" s="92" t="s">
        <v>463</v>
      </c>
      <c r="K97" s="116">
        <v>0</v>
      </c>
      <c r="L97" s="105" t="str">
        <f t="shared" si="17"/>
        <v>FI-JR-69-F-YE</v>
      </c>
      <c r="M97" s="91" t="s">
        <v>1115</v>
      </c>
      <c r="N97" s="92" t="s">
        <v>553</v>
      </c>
      <c r="O97" s="99">
        <v>0</v>
      </c>
      <c r="P97" s="95"/>
      <c r="R97" s="89"/>
      <c r="T97" s="11" t="str">
        <f t="shared" si="18"/>
        <v>G</v>
      </c>
    </row>
    <row r="98" spans="2:20" ht="38.25" x14ac:dyDescent="0.25">
      <c r="B98" s="90"/>
      <c r="C98" s="102" t="str">
        <f t="shared" si="15"/>
        <v>FI-JR-69-F-CD</v>
      </c>
      <c r="D98" s="91" t="s">
        <v>1099</v>
      </c>
      <c r="E98" s="103" t="s">
        <v>366</v>
      </c>
      <c r="F98" s="93"/>
      <c r="G98" s="116">
        <v>0</v>
      </c>
      <c r="H98" s="105" t="str">
        <f t="shared" si="16"/>
        <v>FI-JR-69-F-NP</v>
      </c>
      <c r="I98" s="91" t="s">
        <v>1318</v>
      </c>
      <c r="J98" s="92" t="s">
        <v>465</v>
      </c>
      <c r="K98" s="116">
        <v>0</v>
      </c>
      <c r="L98" s="95"/>
      <c r="M98" s="95"/>
      <c r="N98" s="95"/>
      <c r="O98" s="95"/>
      <c r="P98" s="95"/>
      <c r="R98" s="89"/>
      <c r="T98" s="11" t="str">
        <f t="shared" ref="T98:T103" si="19">IF(OR(AND(OR(ISBLANK(G98),ISBLANK(K98)),$R$88&gt;0),AND($R$88&lt;=0,OR(OR(G98&lt;&gt;0,K98&lt;&gt;0)))),"R","G")</f>
        <v>G</v>
      </c>
    </row>
    <row r="99" spans="2:20" x14ac:dyDescent="0.25">
      <c r="B99" s="90"/>
      <c r="C99" s="102" t="str">
        <f t="shared" si="15"/>
        <v>FI-JR-69-F-CI</v>
      </c>
      <c r="D99" s="91" t="s">
        <v>1091</v>
      </c>
      <c r="E99" s="103" t="s">
        <v>369</v>
      </c>
      <c r="F99" s="93"/>
      <c r="G99" s="116">
        <v>0</v>
      </c>
      <c r="H99" s="105" t="str">
        <f t="shared" si="16"/>
        <v>FI-JR-69-F-NG</v>
      </c>
      <c r="I99" s="91" t="s">
        <v>1107</v>
      </c>
      <c r="J99" s="92" t="s">
        <v>472</v>
      </c>
      <c r="K99" s="116">
        <v>0</v>
      </c>
      <c r="L99" s="95"/>
      <c r="M99" s="95"/>
      <c r="N99" s="95"/>
      <c r="O99" s="95"/>
      <c r="P99" s="95"/>
      <c r="R99" s="89"/>
      <c r="T99" s="11" t="str">
        <f t="shared" si="19"/>
        <v>G</v>
      </c>
    </row>
    <row r="100" spans="2:20" x14ac:dyDescent="0.25">
      <c r="B100" s="90"/>
      <c r="C100" s="102" t="str">
        <f t="shared" si="15"/>
        <v>FI-JR-69-F-HT</v>
      </c>
      <c r="D100" s="91" t="s">
        <v>1100</v>
      </c>
      <c r="E100" s="103" t="s">
        <v>408</v>
      </c>
      <c r="F100" s="93"/>
      <c r="G100" s="116">
        <v>0</v>
      </c>
      <c r="H100" s="105" t="str">
        <f t="shared" si="16"/>
        <v>FI-JR-69-F-RU</v>
      </c>
      <c r="I100" s="91" t="s">
        <v>1321</v>
      </c>
      <c r="J100" s="92" t="s">
        <v>1320</v>
      </c>
      <c r="K100" s="116">
        <v>0</v>
      </c>
      <c r="L100" s="95"/>
      <c r="M100" s="95"/>
      <c r="N100" s="95"/>
      <c r="O100" s="95"/>
      <c r="P100" s="95"/>
      <c r="R100" s="89"/>
      <c r="T100" s="11" t="str">
        <f t="shared" si="19"/>
        <v>G</v>
      </c>
    </row>
    <row r="101" spans="2:20" ht="25.5" x14ac:dyDescent="0.25">
      <c r="B101" s="90"/>
      <c r="C101" s="102" t="str">
        <f t="shared" si="15"/>
        <v>FI-JR-69-F-IR</v>
      </c>
      <c r="D101" s="91" t="s">
        <v>912</v>
      </c>
      <c r="E101" s="103" t="s">
        <v>417</v>
      </c>
      <c r="F101" s="93"/>
      <c r="G101" s="116">
        <v>0</v>
      </c>
      <c r="H101" s="105" t="str">
        <f t="shared" si="16"/>
        <v>FI-JR-69-F-ZA</v>
      </c>
      <c r="I101" s="91" t="s">
        <v>1108</v>
      </c>
      <c r="J101" s="92" t="s">
        <v>513</v>
      </c>
      <c r="K101" s="116">
        <v>0</v>
      </c>
      <c r="L101" s="95"/>
      <c r="M101" s="95"/>
      <c r="N101" s="95"/>
      <c r="O101" s="95"/>
      <c r="P101" s="95"/>
      <c r="R101" s="89"/>
      <c r="T101" s="11" t="str">
        <f t="shared" si="19"/>
        <v>G</v>
      </c>
    </row>
    <row r="102" spans="2:20" x14ac:dyDescent="0.25">
      <c r="B102" s="90"/>
      <c r="C102" s="102" t="str">
        <f t="shared" si="15"/>
        <v>FI-JR-69-F-KE</v>
      </c>
      <c r="D102" s="91" t="s">
        <v>1101</v>
      </c>
      <c r="E102" s="103" t="s">
        <v>426</v>
      </c>
      <c r="F102" s="93"/>
      <c r="G102" s="116">
        <v>0</v>
      </c>
      <c r="H102" s="105" t="str">
        <f t="shared" si="16"/>
        <v>FI-JR-69-F-SS</v>
      </c>
      <c r="I102" s="91" t="s">
        <v>1089</v>
      </c>
      <c r="J102" s="92" t="s">
        <v>1088</v>
      </c>
      <c r="K102" s="99">
        <v>0</v>
      </c>
      <c r="L102" s="94"/>
      <c r="M102" s="95"/>
      <c r="N102" s="95"/>
      <c r="O102" s="95"/>
      <c r="P102" s="95"/>
      <c r="R102" s="89"/>
      <c r="T102" s="11" t="str">
        <f t="shared" si="19"/>
        <v>G</v>
      </c>
    </row>
    <row r="103" spans="2:20" ht="25.5" x14ac:dyDescent="0.25">
      <c r="B103" s="90"/>
      <c r="C103" s="102" t="str">
        <f t="shared" si="15"/>
        <v>FI-JR-69-F-KP</v>
      </c>
      <c r="D103" s="91" t="s">
        <v>1090</v>
      </c>
      <c r="E103" s="103" t="s">
        <v>428</v>
      </c>
      <c r="F103" s="96"/>
      <c r="G103" s="116">
        <v>0</v>
      </c>
      <c r="H103" s="105" t="str">
        <f t="shared" si="16"/>
        <v>FI-JR-69-F-SY</v>
      </c>
      <c r="I103" s="91" t="s">
        <v>1109</v>
      </c>
      <c r="J103" s="92" t="s">
        <v>523</v>
      </c>
      <c r="K103" s="99">
        <v>0</v>
      </c>
      <c r="L103" s="94"/>
      <c r="M103" s="95"/>
      <c r="N103" s="95"/>
      <c r="O103" s="95"/>
      <c r="P103" s="95"/>
      <c r="R103" s="89"/>
      <c r="T103" s="11" t="str">
        <f t="shared" si="19"/>
        <v>G</v>
      </c>
    </row>
    <row r="104" spans="2:20" x14ac:dyDescent="0.25">
      <c r="B104" s="84"/>
      <c r="C104" s="84"/>
      <c r="F104" s="54"/>
      <c r="G104" s="193"/>
      <c r="H104" s="193"/>
      <c r="I104" s="193"/>
      <c r="J104" s="193"/>
      <c r="K104" s="193"/>
      <c r="L104" s="193"/>
      <c r="M104" s="193"/>
      <c r="N104" s="193"/>
      <c r="O104" s="193"/>
      <c r="P104" s="54"/>
      <c r="R104" s="89"/>
      <c r="T104" s="11"/>
    </row>
    <row r="105" spans="2:20" ht="35.25" customHeight="1" x14ac:dyDescent="0.25">
      <c r="B105" s="15" t="s">
        <v>744</v>
      </c>
      <c r="D105" s="186" t="s">
        <v>1118</v>
      </c>
      <c r="E105" s="186"/>
      <c r="F105" s="186"/>
      <c r="G105" s="186"/>
      <c r="H105" s="186"/>
      <c r="I105" s="186"/>
      <c r="J105" s="186"/>
      <c r="K105" s="186"/>
      <c r="L105" s="186"/>
      <c r="M105" s="186"/>
      <c r="N105" s="186"/>
      <c r="O105" s="186"/>
      <c r="P105" s="52"/>
      <c r="R105" s="10"/>
    </row>
    <row r="106" spans="2:20" ht="52.5" customHeight="1" x14ac:dyDescent="0.25">
      <c r="D106" s="190" t="s">
        <v>1349</v>
      </c>
      <c r="E106" s="190"/>
      <c r="F106" s="190"/>
      <c r="G106" s="190"/>
      <c r="H106" s="190"/>
      <c r="I106" s="190"/>
      <c r="J106" s="190"/>
      <c r="K106" s="190"/>
      <c r="L106" s="190"/>
      <c r="M106" s="190"/>
      <c r="N106" s="190"/>
      <c r="O106" s="190"/>
      <c r="P106" s="190"/>
      <c r="R106" s="101"/>
    </row>
    <row r="107" spans="2:20" ht="15" customHeight="1" x14ac:dyDescent="0.25">
      <c r="B107" s="46" t="str">
        <f>B105&amp;"-M"</f>
        <v>FI-JR-02-M</v>
      </c>
      <c r="C107" s="46"/>
      <c r="D107" s="84"/>
      <c r="E107" s="189" t="s">
        <v>448</v>
      </c>
      <c r="F107" s="189"/>
      <c r="G107" s="189"/>
      <c r="H107" s="189"/>
      <c r="I107" s="189"/>
      <c r="J107" s="189"/>
      <c r="K107" s="189"/>
      <c r="L107" s="189"/>
      <c r="M107" s="189"/>
      <c r="N107" s="189"/>
      <c r="O107" s="189"/>
      <c r="P107" s="52"/>
      <c r="R107" s="67"/>
      <c r="T107" s="11" t="str">
        <f>IF(ISBLANK(R107),"R","G")</f>
        <v>R</v>
      </c>
    </row>
    <row r="108" spans="2:20" ht="15" customHeight="1" x14ac:dyDescent="0.25">
      <c r="B108" s="46" t="str">
        <f>B105&amp;"-E"</f>
        <v>FI-JR-02-E</v>
      </c>
      <c r="C108" s="46"/>
      <c r="D108" s="84"/>
      <c r="E108" s="189" t="s">
        <v>1084</v>
      </c>
      <c r="F108" s="189"/>
      <c r="G108" s="189"/>
      <c r="H108" s="189"/>
      <c r="I108" s="189"/>
      <c r="J108" s="189"/>
      <c r="K108" s="189"/>
      <c r="L108" s="189"/>
      <c r="M108" s="189"/>
      <c r="N108" s="189"/>
      <c r="O108" s="189"/>
      <c r="P108" s="52"/>
      <c r="R108" s="67"/>
      <c r="T108" s="11" t="str">
        <f>IF(ISBLANK(R108),"R","G")</f>
        <v>R</v>
      </c>
    </row>
    <row r="109" spans="2:20" ht="15" customHeight="1" x14ac:dyDescent="0.25">
      <c r="B109" s="46" t="str">
        <f>B105&amp;"-N"</f>
        <v>FI-JR-02-N</v>
      </c>
      <c r="C109" s="46"/>
      <c r="D109" s="84"/>
      <c r="E109" s="189" t="s">
        <v>1085</v>
      </c>
      <c r="F109" s="189"/>
      <c r="G109" s="189"/>
      <c r="H109" s="189"/>
      <c r="I109" s="189"/>
      <c r="J109" s="189"/>
      <c r="K109" s="189"/>
      <c r="L109" s="189"/>
      <c r="M109" s="189"/>
      <c r="N109" s="189"/>
      <c r="O109" s="189"/>
      <c r="P109" s="52"/>
      <c r="R109" s="67"/>
      <c r="T109" s="11" t="str">
        <f>IF(ISBLANK(R109),"R","G")</f>
        <v>R</v>
      </c>
    </row>
    <row r="110" spans="2:20" ht="27" customHeight="1" x14ac:dyDescent="0.25">
      <c r="B110" s="46" t="str">
        <f>B105&amp;"-F"</f>
        <v>FI-JR-02-F</v>
      </c>
      <c r="C110" s="46"/>
      <c r="D110" s="84"/>
      <c r="E110" s="191" t="s">
        <v>1086</v>
      </c>
      <c r="F110" s="191"/>
      <c r="G110" s="191"/>
      <c r="H110" s="191"/>
      <c r="I110" s="191"/>
      <c r="J110" s="191"/>
      <c r="K110" s="191"/>
      <c r="L110" s="191"/>
      <c r="M110" s="191"/>
      <c r="N110" s="191"/>
      <c r="O110" s="191"/>
      <c r="P110" s="86"/>
      <c r="R110" s="67"/>
      <c r="T110" s="11" t="str">
        <f>IF(ISBLANK(R110),"R","G")</f>
        <v>R</v>
      </c>
    </row>
    <row r="111" spans="2:20" ht="9.75" customHeight="1" x14ac:dyDescent="0.25">
      <c r="B111" s="10"/>
      <c r="C111" s="10"/>
      <c r="D111" s="10"/>
      <c r="E111" s="10"/>
      <c r="F111" s="10"/>
      <c r="G111" s="10"/>
      <c r="H111" s="10"/>
      <c r="I111" s="10"/>
      <c r="J111" s="10"/>
      <c r="K111" s="10"/>
      <c r="L111" s="10"/>
      <c r="M111" s="10"/>
      <c r="N111" s="10"/>
      <c r="O111" s="10"/>
      <c r="P111" s="10"/>
      <c r="R111" s="10"/>
    </row>
    <row r="112" spans="2:20" ht="15" customHeight="1" x14ac:dyDescent="0.25">
      <c r="B112" s="87"/>
      <c r="C112" s="87"/>
      <c r="D112" s="192" t="str">
        <f>IF(R110=0,"",IF(SUM(G113:G125,K113:K125,O113:O119)=R110,"","The totals included next to each jurisdiction do not add up to "&amp;R110&amp;", please revise the figures."))</f>
        <v/>
      </c>
      <c r="E112" s="192"/>
      <c r="F112" s="192"/>
      <c r="G112" s="192"/>
      <c r="H112" s="192"/>
      <c r="I112" s="192"/>
      <c r="J112" s="192"/>
      <c r="K112" s="192"/>
      <c r="L112" s="192"/>
      <c r="M112" s="192"/>
      <c r="N112" s="192"/>
      <c r="O112" s="192"/>
      <c r="P112" s="88"/>
      <c r="R112" s="89"/>
      <c r="T112" s="11" t="str">
        <f>IF(D112="","G","R")</f>
        <v>G</v>
      </c>
    </row>
    <row r="113" spans="2:20" ht="25.5" x14ac:dyDescent="0.25">
      <c r="B113" s="90"/>
      <c r="C113" s="102" t="str">
        <f>$B$110&amp;"-"&amp;D113</f>
        <v>FI-JR-02-F-AF</v>
      </c>
      <c r="D113" s="91" t="s">
        <v>1093</v>
      </c>
      <c r="E113" s="103" t="s">
        <v>317</v>
      </c>
      <c r="F113" s="93"/>
      <c r="G113" s="116">
        <v>0</v>
      </c>
      <c r="H113" s="105" t="str">
        <f>$B$110&amp;"-"&amp;I113</f>
        <v>FI-JR-02-F-LA</v>
      </c>
      <c r="I113" s="91" t="s">
        <v>1317</v>
      </c>
      <c r="J113" s="92" t="s">
        <v>1312</v>
      </c>
      <c r="K113" s="116">
        <v>0</v>
      </c>
      <c r="L113" s="105" t="str">
        <f>$B$110&amp;"-"&amp;M113</f>
        <v>FI-JR-02-F-TZ</v>
      </c>
      <c r="M113" s="91" t="s">
        <v>1110</v>
      </c>
      <c r="N113" s="92" t="s">
        <v>526</v>
      </c>
      <c r="O113" s="99">
        <v>0</v>
      </c>
      <c r="P113" s="95"/>
      <c r="R113" s="89"/>
      <c r="T113" s="11" t="str">
        <f>IF(OR(AND(OR(ISBLANK(G113),ISBLANK(K113),ISBLANK(O113)),$R$110&gt;0),AND($R$110&lt;=0,OR(OR(G113&lt;&gt;0,K113&lt;&gt;0,O113&lt;&gt;0)))),"R","G")</f>
        <v>G</v>
      </c>
    </row>
    <row r="114" spans="2:20" x14ac:dyDescent="0.25">
      <c r="B114" s="90"/>
      <c r="C114" s="102" t="str">
        <f t="shared" ref="C114:C125" si="20">$B$110&amp;"-"&amp;D114</f>
        <v>FI-JR-02-F-DZ</v>
      </c>
      <c r="D114" s="91" t="s">
        <v>1094</v>
      </c>
      <c r="E114" s="103" t="s">
        <v>319</v>
      </c>
      <c r="F114" s="93"/>
      <c r="G114" s="116">
        <v>0</v>
      </c>
      <c r="H114" s="105" t="str">
        <f t="shared" ref="H114:H125" si="21">$B$110&amp;"-"&amp;I114</f>
        <v>FI-JR-02-F-LB</v>
      </c>
      <c r="I114" s="91" t="s">
        <v>1102</v>
      </c>
      <c r="J114" s="92" t="s">
        <v>434</v>
      </c>
      <c r="K114" s="116">
        <v>0</v>
      </c>
      <c r="L114" s="105" t="str">
        <f t="shared" ref="L114:L119" si="22">$B$110&amp;"-"&amp;M114</f>
        <v>FI-JR-02-F-TT</v>
      </c>
      <c r="M114" s="91" t="s">
        <v>1111</v>
      </c>
      <c r="N114" s="92" t="s">
        <v>532</v>
      </c>
      <c r="O114" s="99">
        <v>0</v>
      </c>
      <c r="P114" s="95"/>
      <c r="R114" s="89"/>
      <c r="T114" s="11" t="str">
        <f t="shared" ref="T114:T119" si="23">IF(OR(AND(OR(ISBLANK(G114),ISBLANK(K114),ISBLANK(O114)),$R$110&gt;0),AND($R$110&lt;=0,OR(OR(G114&lt;&gt;0,K114&lt;&gt;0,O114&lt;&gt;0)))),"R","G")</f>
        <v>G</v>
      </c>
    </row>
    <row r="115" spans="2:20" x14ac:dyDescent="0.25">
      <c r="B115" s="90"/>
      <c r="C115" s="102" t="str">
        <f t="shared" si="20"/>
        <v>FI-JR-02-F-AO</v>
      </c>
      <c r="D115" s="91" t="s">
        <v>1095</v>
      </c>
      <c r="E115" s="103" t="s">
        <v>322</v>
      </c>
      <c r="F115" s="93"/>
      <c r="G115" s="116">
        <v>0</v>
      </c>
      <c r="H115" s="105" t="str">
        <f t="shared" si="21"/>
        <v>FI-JR-02-F-ML</v>
      </c>
      <c r="I115" s="91" t="s">
        <v>1103</v>
      </c>
      <c r="J115" s="92" t="s">
        <v>447</v>
      </c>
      <c r="K115" s="116">
        <v>0</v>
      </c>
      <c r="L115" s="105" t="str">
        <f t="shared" si="22"/>
        <v>FI-JR-02-F-VU</v>
      </c>
      <c r="M115" s="91" t="s">
        <v>1112</v>
      </c>
      <c r="N115" s="92" t="s">
        <v>546</v>
      </c>
      <c r="O115" s="99">
        <v>0</v>
      </c>
      <c r="P115" s="95"/>
      <c r="R115" s="89"/>
      <c r="T115" s="11" t="str">
        <f t="shared" si="23"/>
        <v>G</v>
      </c>
    </row>
    <row r="116" spans="2:20" x14ac:dyDescent="0.25">
      <c r="B116" s="90"/>
      <c r="C116" s="102" t="str">
        <f t="shared" si="20"/>
        <v>FI-JR-02-F-BO</v>
      </c>
      <c r="D116" s="91" t="s">
        <v>1316</v>
      </c>
      <c r="E116" s="103" t="s">
        <v>342</v>
      </c>
      <c r="F116" s="93"/>
      <c r="G116" s="116">
        <v>0</v>
      </c>
      <c r="H116" s="105" t="str">
        <f t="shared" si="21"/>
        <v>FI-JR-02-F-MN</v>
      </c>
      <c r="I116" s="91" t="s">
        <v>1315</v>
      </c>
      <c r="J116" s="92" t="s">
        <v>457</v>
      </c>
      <c r="K116" s="116">
        <v>0</v>
      </c>
      <c r="L116" s="105" t="str">
        <f t="shared" si="22"/>
        <v>FI-JR-02-F-VE</v>
      </c>
      <c r="M116" s="91" t="s">
        <v>1113</v>
      </c>
      <c r="N116" s="92" t="s">
        <v>547</v>
      </c>
      <c r="O116" s="99">
        <v>0</v>
      </c>
      <c r="P116" s="95"/>
      <c r="R116" s="89"/>
      <c r="T116" s="11" t="str">
        <f t="shared" si="23"/>
        <v>G</v>
      </c>
    </row>
    <row r="117" spans="2:20" x14ac:dyDescent="0.25">
      <c r="B117" s="90"/>
      <c r="C117" s="102" t="str">
        <f t="shared" si="20"/>
        <v>FI-JR-02-F-BG</v>
      </c>
      <c r="D117" s="91" t="s">
        <v>1096</v>
      </c>
      <c r="E117" s="103" t="s">
        <v>349</v>
      </c>
      <c r="F117" s="93"/>
      <c r="G117" s="116">
        <v>0</v>
      </c>
      <c r="H117" s="105" t="str">
        <f t="shared" si="21"/>
        <v>FI-JR-02-F-MZ</v>
      </c>
      <c r="I117" s="91" t="s">
        <v>1104</v>
      </c>
      <c r="J117" s="92" t="s">
        <v>461</v>
      </c>
      <c r="K117" s="116">
        <v>0</v>
      </c>
      <c r="L117" s="105" t="str">
        <f t="shared" si="22"/>
        <v>FI-JR-02-F-VN</v>
      </c>
      <c r="M117" s="91" t="s">
        <v>1114</v>
      </c>
      <c r="N117" s="92" t="s">
        <v>1313</v>
      </c>
      <c r="O117" s="99">
        <v>0</v>
      </c>
      <c r="P117" s="95"/>
      <c r="R117" s="89"/>
      <c r="T117" s="11" t="str">
        <f t="shared" si="23"/>
        <v>G</v>
      </c>
    </row>
    <row r="118" spans="2:20" x14ac:dyDescent="0.25">
      <c r="B118" s="90"/>
      <c r="C118" s="102" t="str">
        <f t="shared" si="20"/>
        <v>FI-JR-02-F-BF</v>
      </c>
      <c r="D118" s="91" t="s">
        <v>1097</v>
      </c>
      <c r="E118" s="103" t="s">
        <v>350</v>
      </c>
      <c r="F118" s="93"/>
      <c r="G118" s="116">
        <v>0</v>
      </c>
      <c r="H118" s="105" t="str">
        <f t="shared" si="21"/>
        <v>FI-JR-02-F-MM</v>
      </c>
      <c r="I118" s="91" t="s">
        <v>1105</v>
      </c>
      <c r="J118" s="92" t="s">
        <v>462</v>
      </c>
      <c r="K118" s="116">
        <v>0</v>
      </c>
      <c r="L118" s="105" t="str">
        <f t="shared" si="22"/>
        <v>FI-JR-02-F-VI</v>
      </c>
      <c r="M118" s="91" t="s">
        <v>1319</v>
      </c>
      <c r="N118" s="92" t="s">
        <v>1314</v>
      </c>
      <c r="O118" s="99">
        <v>0</v>
      </c>
      <c r="P118" s="95"/>
      <c r="R118" s="89"/>
      <c r="T118" s="11" t="str">
        <f t="shared" si="23"/>
        <v>G</v>
      </c>
    </row>
    <row r="119" spans="2:20" x14ac:dyDescent="0.25">
      <c r="B119" s="90"/>
      <c r="C119" s="102" t="str">
        <f t="shared" si="20"/>
        <v>FI-JR-02-F-CM</v>
      </c>
      <c r="D119" s="91" t="s">
        <v>1098</v>
      </c>
      <c r="E119" s="103" t="s">
        <v>353</v>
      </c>
      <c r="F119" s="93"/>
      <c r="G119" s="116">
        <v>0</v>
      </c>
      <c r="H119" s="105" t="str">
        <f t="shared" si="21"/>
        <v>FI-JR-02-F-NA</v>
      </c>
      <c r="I119" s="91" t="s">
        <v>1106</v>
      </c>
      <c r="J119" s="92" t="s">
        <v>463</v>
      </c>
      <c r="K119" s="116">
        <v>0</v>
      </c>
      <c r="L119" s="105" t="str">
        <f t="shared" si="22"/>
        <v>FI-JR-02-F-YE</v>
      </c>
      <c r="M119" s="91" t="s">
        <v>1115</v>
      </c>
      <c r="N119" s="92" t="s">
        <v>553</v>
      </c>
      <c r="O119" s="99">
        <v>0</v>
      </c>
      <c r="P119" s="95"/>
      <c r="R119" s="89"/>
      <c r="T119" s="11" t="str">
        <f t="shared" si="23"/>
        <v>G</v>
      </c>
    </row>
    <row r="120" spans="2:20" ht="38.25" x14ac:dyDescent="0.25">
      <c r="B120" s="90"/>
      <c r="C120" s="102" t="str">
        <f t="shared" si="20"/>
        <v>FI-JR-02-F-CD</v>
      </c>
      <c r="D120" s="91" t="s">
        <v>1099</v>
      </c>
      <c r="E120" s="103" t="s">
        <v>366</v>
      </c>
      <c r="F120" s="93"/>
      <c r="G120" s="116">
        <v>0</v>
      </c>
      <c r="H120" s="105" t="str">
        <f t="shared" si="21"/>
        <v>FI-JR-02-F-NP</v>
      </c>
      <c r="I120" s="91" t="s">
        <v>1318</v>
      </c>
      <c r="J120" s="92" t="s">
        <v>465</v>
      </c>
      <c r="K120" s="116">
        <v>0</v>
      </c>
      <c r="L120" s="95"/>
      <c r="M120" s="95"/>
      <c r="N120" s="95"/>
      <c r="O120" s="95"/>
      <c r="P120" s="95"/>
      <c r="R120" s="89"/>
      <c r="T120" s="11" t="str">
        <f t="shared" ref="T120:T125" si="24">IF(OR(AND(OR(ISBLANK(G120),ISBLANK(K120)),$R$110&gt;0),AND($R$110&lt;=0,OR(OR(G120&lt;&gt;0,K120&lt;&gt;0)))),"R","G")</f>
        <v>G</v>
      </c>
    </row>
    <row r="121" spans="2:20" x14ac:dyDescent="0.25">
      <c r="B121" s="90"/>
      <c r="C121" s="102" t="str">
        <f t="shared" si="20"/>
        <v>FI-JR-02-F-CI</v>
      </c>
      <c r="D121" s="91" t="s">
        <v>1091</v>
      </c>
      <c r="E121" s="103" t="s">
        <v>369</v>
      </c>
      <c r="F121" s="93"/>
      <c r="G121" s="116">
        <v>0</v>
      </c>
      <c r="H121" s="105" t="str">
        <f t="shared" si="21"/>
        <v>FI-JR-02-F-NG</v>
      </c>
      <c r="I121" s="91" t="s">
        <v>1107</v>
      </c>
      <c r="J121" s="92" t="s">
        <v>472</v>
      </c>
      <c r="K121" s="116">
        <v>0</v>
      </c>
      <c r="L121" s="95"/>
      <c r="M121" s="95"/>
      <c r="N121" s="95"/>
      <c r="O121" s="95"/>
      <c r="P121" s="95"/>
      <c r="R121" s="89"/>
      <c r="T121" s="11" t="str">
        <f t="shared" si="24"/>
        <v>G</v>
      </c>
    </row>
    <row r="122" spans="2:20" x14ac:dyDescent="0.25">
      <c r="B122" s="90"/>
      <c r="C122" s="102" t="str">
        <f t="shared" si="20"/>
        <v>FI-JR-02-F-HT</v>
      </c>
      <c r="D122" s="91" t="s">
        <v>1100</v>
      </c>
      <c r="E122" s="103" t="s">
        <v>408</v>
      </c>
      <c r="F122" s="93"/>
      <c r="G122" s="116">
        <v>0</v>
      </c>
      <c r="H122" s="105" t="str">
        <f t="shared" si="21"/>
        <v>FI-JR-02-F-RU</v>
      </c>
      <c r="I122" s="91" t="s">
        <v>1321</v>
      </c>
      <c r="J122" s="92" t="s">
        <v>1320</v>
      </c>
      <c r="K122" s="116">
        <v>0</v>
      </c>
      <c r="L122" s="95"/>
      <c r="M122" s="95"/>
      <c r="N122" s="95"/>
      <c r="O122" s="95"/>
      <c r="P122" s="95"/>
      <c r="R122" s="89"/>
      <c r="T122" s="11" t="str">
        <f t="shared" si="24"/>
        <v>G</v>
      </c>
    </row>
    <row r="123" spans="2:20" ht="25.5" x14ac:dyDescent="0.25">
      <c r="B123" s="90"/>
      <c r="C123" s="102" t="str">
        <f t="shared" si="20"/>
        <v>FI-JR-02-F-IR</v>
      </c>
      <c r="D123" s="91" t="s">
        <v>912</v>
      </c>
      <c r="E123" s="103" t="s">
        <v>417</v>
      </c>
      <c r="F123" s="93"/>
      <c r="G123" s="116">
        <v>0</v>
      </c>
      <c r="H123" s="105" t="str">
        <f t="shared" si="21"/>
        <v>FI-JR-02-F-ZA</v>
      </c>
      <c r="I123" s="91" t="s">
        <v>1108</v>
      </c>
      <c r="J123" s="92" t="s">
        <v>513</v>
      </c>
      <c r="K123" s="116">
        <v>0</v>
      </c>
      <c r="L123" s="95"/>
      <c r="M123" s="95"/>
      <c r="N123" s="95"/>
      <c r="O123" s="95"/>
      <c r="P123" s="95"/>
      <c r="R123" s="89"/>
      <c r="T123" s="11" t="str">
        <f t="shared" si="24"/>
        <v>G</v>
      </c>
    </row>
    <row r="124" spans="2:20" x14ac:dyDescent="0.25">
      <c r="B124" s="90"/>
      <c r="C124" s="102" t="str">
        <f t="shared" si="20"/>
        <v>FI-JR-02-F-KE</v>
      </c>
      <c r="D124" s="91" t="s">
        <v>1101</v>
      </c>
      <c r="E124" s="103" t="s">
        <v>426</v>
      </c>
      <c r="F124" s="93"/>
      <c r="G124" s="116">
        <v>0</v>
      </c>
      <c r="H124" s="105" t="str">
        <f t="shared" si="21"/>
        <v>FI-JR-02-F-SS</v>
      </c>
      <c r="I124" s="91" t="s">
        <v>1089</v>
      </c>
      <c r="J124" s="92" t="s">
        <v>1088</v>
      </c>
      <c r="K124" s="99">
        <v>0</v>
      </c>
      <c r="L124" s="94"/>
      <c r="M124" s="95"/>
      <c r="N124" s="95"/>
      <c r="O124" s="95"/>
      <c r="P124" s="95"/>
      <c r="R124" s="89"/>
      <c r="T124" s="11" t="str">
        <f t="shared" si="24"/>
        <v>G</v>
      </c>
    </row>
    <row r="125" spans="2:20" ht="25.5" x14ac:dyDescent="0.25">
      <c r="B125" s="90"/>
      <c r="C125" s="102" t="str">
        <f t="shared" si="20"/>
        <v>FI-JR-02-F-KP</v>
      </c>
      <c r="D125" s="91" t="s">
        <v>1090</v>
      </c>
      <c r="E125" s="103" t="s">
        <v>428</v>
      </c>
      <c r="F125" s="96"/>
      <c r="G125" s="116">
        <v>0</v>
      </c>
      <c r="H125" s="105" t="str">
        <f t="shared" si="21"/>
        <v>FI-JR-02-F-SY</v>
      </c>
      <c r="I125" s="91" t="s">
        <v>1109</v>
      </c>
      <c r="J125" s="92" t="s">
        <v>523</v>
      </c>
      <c r="K125" s="99">
        <v>0</v>
      </c>
      <c r="L125" s="94"/>
      <c r="M125" s="95"/>
      <c r="N125" s="95"/>
      <c r="O125" s="95"/>
      <c r="P125" s="95"/>
      <c r="R125" s="89"/>
      <c r="T125" s="11" t="str">
        <f t="shared" si="24"/>
        <v>G</v>
      </c>
    </row>
    <row r="126" spans="2:20" x14ac:dyDescent="0.25">
      <c r="B126" s="84"/>
      <c r="C126" s="84"/>
      <c r="F126" s="54"/>
      <c r="G126" s="193"/>
      <c r="H126" s="193"/>
      <c r="I126" s="193"/>
      <c r="J126" s="193"/>
      <c r="K126" s="193"/>
      <c r="L126" s="193"/>
      <c r="M126" s="193"/>
      <c r="N126" s="193"/>
      <c r="O126" s="193"/>
      <c r="P126" s="54"/>
      <c r="R126" s="89"/>
      <c r="T126" s="11"/>
    </row>
    <row r="127" spans="2:20" ht="37.5" customHeight="1" x14ac:dyDescent="0.25">
      <c r="B127" s="15" t="s">
        <v>745</v>
      </c>
      <c r="D127" s="186" t="s">
        <v>1119</v>
      </c>
      <c r="E127" s="186"/>
      <c r="F127" s="186"/>
      <c r="G127" s="186"/>
      <c r="H127" s="186"/>
      <c r="I127" s="186"/>
      <c r="J127" s="186"/>
      <c r="K127" s="186"/>
      <c r="L127" s="186"/>
      <c r="M127" s="186"/>
      <c r="N127" s="186"/>
      <c r="O127" s="186"/>
      <c r="P127" s="52"/>
      <c r="R127" s="10"/>
    </row>
    <row r="128" spans="2:20" ht="52.5" customHeight="1" x14ac:dyDescent="0.25">
      <c r="D128" s="190" t="s">
        <v>1349</v>
      </c>
      <c r="E128" s="190"/>
      <c r="F128" s="190"/>
      <c r="G128" s="190"/>
      <c r="H128" s="190"/>
      <c r="I128" s="190"/>
      <c r="J128" s="190"/>
      <c r="K128" s="190"/>
      <c r="L128" s="190"/>
      <c r="M128" s="190"/>
      <c r="N128" s="190"/>
      <c r="O128" s="190"/>
      <c r="P128" s="190"/>
      <c r="R128" s="101"/>
    </row>
    <row r="129" spans="2:20" ht="15" customHeight="1" x14ac:dyDescent="0.25">
      <c r="B129" s="46" t="str">
        <f>B127&amp;"-M"</f>
        <v>FI-JR-03-M</v>
      </c>
      <c r="C129" s="46"/>
      <c r="D129" s="84"/>
      <c r="E129" s="189" t="s">
        <v>448</v>
      </c>
      <c r="F129" s="189"/>
      <c r="G129" s="189"/>
      <c r="H129" s="189"/>
      <c r="I129" s="189"/>
      <c r="J129" s="189"/>
      <c r="K129" s="189"/>
      <c r="L129" s="189"/>
      <c r="M129" s="189"/>
      <c r="N129" s="189"/>
      <c r="O129" s="189"/>
      <c r="P129" s="52"/>
      <c r="R129" s="67"/>
      <c r="T129" s="11" t="str">
        <f>IF(ISBLANK(R129),"R","G")</f>
        <v>R</v>
      </c>
    </row>
    <row r="130" spans="2:20" ht="15" customHeight="1" x14ac:dyDescent="0.25">
      <c r="B130" s="46" t="str">
        <f>B127&amp;"-E"</f>
        <v>FI-JR-03-E</v>
      </c>
      <c r="C130" s="46"/>
      <c r="D130" s="84"/>
      <c r="E130" s="189" t="s">
        <v>1084</v>
      </c>
      <c r="F130" s="189"/>
      <c r="G130" s="189"/>
      <c r="H130" s="189"/>
      <c r="I130" s="189"/>
      <c r="J130" s="189"/>
      <c r="K130" s="189"/>
      <c r="L130" s="189"/>
      <c r="M130" s="189"/>
      <c r="N130" s="189"/>
      <c r="O130" s="189"/>
      <c r="P130" s="52"/>
      <c r="R130" s="67"/>
      <c r="T130" s="11" t="str">
        <f>IF(ISBLANK(R130),"R","G")</f>
        <v>R</v>
      </c>
    </row>
    <row r="131" spans="2:20" ht="15" customHeight="1" x14ac:dyDescent="0.25">
      <c r="B131" s="46" t="str">
        <f>B127&amp;"-N"</f>
        <v>FI-JR-03-N</v>
      </c>
      <c r="C131" s="46"/>
      <c r="D131" s="84"/>
      <c r="E131" s="189" t="s">
        <v>1085</v>
      </c>
      <c r="F131" s="189"/>
      <c r="G131" s="189"/>
      <c r="H131" s="189"/>
      <c r="I131" s="189"/>
      <c r="J131" s="189"/>
      <c r="K131" s="189"/>
      <c r="L131" s="189"/>
      <c r="M131" s="189"/>
      <c r="N131" s="189"/>
      <c r="O131" s="189"/>
      <c r="P131" s="52"/>
      <c r="R131" s="67"/>
      <c r="T131" s="11" t="str">
        <f>IF(ISBLANK(R131),"R","G")</f>
        <v>R</v>
      </c>
    </row>
    <row r="132" spans="2:20" ht="27" customHeight="1" x14ac:dyDescent="0.25">
      <c r="B132" s="46" t="str">
        <f>B127&amp;"-F"</f>
        <v>FI-JR-03-F</v>
      </c>
      <c r="C132" s="46"/>
      <c r="D132" s="84"/>
      <c r="E132" s="191" t="s">
        <v>1086</v>
      </c>
      <c r="F132" s="191"/>
      <c r="G132" s="191"/>
      <c r="H132" s="191"/>
      <c r="I132" s="191"/>
      <c r="J132" s="191"/>
      <c r="K132" s="191"/>
      <c r="L132" s="191"/>
      <c r="M132" s="191"/>
      <c r="N132" s="191"/>
      <c r="O132" s="191"/>
      <c r="P132" s="86"/>
      <c r="R132" s="67"/>
      <c r="T132" s="11" t="str">
        <f>IF(ISBLANK(R132),"R","G")</f>
        <v>R</v>
      </c>
    </row>
    <row r="133" spans="2:20" ht="9.75" customHeight="1" x14ac:dyDescent="0.25">
      <c r="B133" s="10"/>
      <c r="C133" s="10"/>
      <c r="D133" s="10"/>
      <c r="E133" s="10"/>
      <c r="F133" s="10"/>
      <c r="G133" s="10"/>
      <c r="H133" s="10"/>
      <c r="I133" s="10"/>
      <c r="J133" s="10"/>
      <c r="K133" s="10"/>
      <c r="L133" s="10"/>
      <c r="M133" s="10"/>
      <c r="N133" s="10"/>
      <c r="O133" s="10"/>
      <c r="P133" s="10"/>
      <c r="R133" s="10"/>
    </row>
    <row r="134" spans="2:20" ht="15" customHeight="1" x14ac:dyDescent="0.25">
      <c r="B134" s="87"/>
      <c r="C134" s="87"/>
      <c r="D134" s="192" t="str">
        <f>IF(R132=0,"",IF(SUM(G135:G147,K135:K147,O135:O141)=R132,"","The totals included next to each jurisdiction do not add up to "&amp;R132&amp;", please revise the figures."))</f>
        <v/>
      </c>
      <c r="E134" s="192"/>
      <c r="F134" s="192"/>
      <c r="G134" s="192"/>
      <c r="H134" s="192"/>
      <c r="I134" s="192"/>
      <c r="J134" s="192"/>
      <c r="K134" s="192"/>
      <c r="L134" s="192"/>
      <c r="M134" s="192"/>
      <c r="N134" s="192"/>
      <c r="O134" s="192"/>
      <c r="P134" s="88"/>
      <c r="R134" s="89"/>
      <c r="T134" s="11" t="str">
        <f>IF(D134="","G","R")</f>
        <v>G</v>
      </c>
    </row>
    <row r="135" spans="2:20" ht="25.5" x14ac:dyDescent="0.25">
      <c r="B135" s="90"/>
      <c r="C135" s="102" t="str">
        <f>$B$132&amp;"-"&amp;D135</f>
        <v>FI-JR-03-F-AF</v>
      </c>
      <c r="D135" s="91" t="s">
        <v>1093</v>
      </c>
      <c r="E135" s="103" t="s">
        <v>317</v>
      </c>
      <c r="F135" s="93"/>
      <c r="G135" s="116">
        <v>0</v>
      </c>
      <c r="H135" s="105" t="str">
        <f>$B$132&amp;"-"&amp;I135</f>
        <v>FI-JR-03-F-LA</v>
      </c>
      <c r="I135" s="91" t="s">
        <v>1317</v>
      </c>
      <c r="J135" s="92" t="s">
        <v>1312</v>
      </c>
      <c r="K135" s="116">
        <v>0</v>
      </c>
      <c r="L135" s="105" t="str">
        <f>$B$132&amp;"-"&amp;M135</f>
        <v>FI-JR-03-F-TZ</v>
      </c>
      <c r="M135" s="91" t="s">
        <v>1110</v>
      </c>
      <c r="N135" s="92" t="s">
        <v>526</v>
      </c>
      <c r="O135" s="99">
        <v>0</v>
      </c>
      <c r="P135" s="95"/>
      <c r="R135" s="89"/>
      <c r="T135" s="11" t="str">
        <f>IF(OR(AND(OR(ISBLANK(G135),ISBLANK(K135),ISBLANK(O135)),$R$132&gt;0),AND($R$132&lt;=0,OR(OR(G135&lt;&gt;0,K135&lt;&gt;0,O135&lt;&gt;0)))),"R","G")</f>
        <v>G</v>
      </c>
    </row>
    <row r="136" spans="2:20" x14ac:dyDescent="0.25">
      <c r="B136" s="90"/>
      <c r="C136" s="102" t="str">
        <f t="shared" ref="C136:C147" si="25">$B$132&amp;"-"&amp;D136</f>
        <v>FI-JR-03-F-DZ</v>
      </c>
      <c r="D136" s="91" t="s">
        <v>1094</v>
      </c>
      <c r="E136" s="103" t="s">
        <v>319</v>
      </c>
      <c r="F136" s="93"/>
      <c r="G136" s="116">
        <v>0</v>
      </c>
      <c r="H136" s="105" t="str">
        <f t="shared" ref="H136:H147" si="26">$B$132&amp;"-"&amp;I136</f>
        <v>FI-JR-03-F-LB</v>
      </c>
      <c r="I136" s="91" t="s">
        <v>1102</v>
      </c>
      <c r="J136" s="92" t="s">
        <v>434</v>
      </c>
      <c r="K136" s="116">
        <v>0</v>
      </c>
      <c r="L136" s="105" t="str">
        <f t="shared" ref="L136:L141" si="27">$B$132&amp;"-"&amp;M136</f>
        <v>FI-JR-03-F-TT</v>
      </c>
      <c r="M136" s="91" t="s">
        <v>1111</v>
      </c>
      <c r="N136" s="92" t="s">
        <v>532</v>
      </c>
      <c r="O136" s="99">
        <v>0</v>
      </c>
      <c r="P136" s="95"/>
      <c r="R136" s="89"/>
      <c r="T136" s="11" t="str">
        <f t="shared" ref="T136:T141" si="28">IF(OR(AND(OR(ISBLANK(G136),ISBLANK(K136),ISBLANK(O136)),$R$132&gt;0),AND($R$132&lt;=0,OR(OR(G136&lt;&gt;0,K136&lt;&gt;0,O136&lt;&gt;0)))),"R","G")</f>
        <v>G</v>
      </c>
    </row>
    <row r="137" spans="2:20" x14ac:dyDescent="0.25">
      <c r="B137" s="90"/>
      <c r="C137" s="102" t="str">
        <f t="shared" si="25"/>
        <v>FI-JR-03-F-AO</v>
      </c>
      <c r="D137" s="91" t="s">
        <v>1095</v>
      </c>
      <c r="E137" s="103" t="s">
        <v>322</v>
      </c>
      <c r="F137" s="93"/>
      <c r="G137" s="116">
        <v>0</v>
      </c>
      <c r="H137" s="105" t="str">
        <f t="shared" si="26"/>
        <v>FI-JR-03-F-ML</v>
      </c>
      <c r="I137" s="91" t="s">
        <v>1103</v>
      </c>
      <c r="J137" s="92" t="s">
        <v>447</v>
      </c>
      <c r="K137" s="116">
        <v>0</v>
      </c>
      <c r="L137" s="105" t="str">
        <f t="shared" si="27"/>
        <v>FI-JR-03-F-VU</v>
      </c>
      <c r="M137" s="91" t="s">
        <v>1112</v>
      </c>
      <c r="N137" s="92" t="s">
        <v>546</v>
      </c>
      <c r="O137" s="99">
        <v>0</v>
      </c>
      <c r="P137" s="95"/>
      <c r="R137" s="89"/>
      <c r="T137" s="11" t="str">
        <f t="shared" si="28"/>
        <v>G</v>
      </c>
    </row>
    <row r="138" spans="2:20" x14ac:dyDescent="0.25">
      <c r="B138" s="90"/>
      <c r="C138" s="102" t="str">
        <f t="shared" si="25"/>
        <v>FI-JR-03-F-BO</v>
      </c>
      <c r="D138" s="91" t="s">
        <v>1316</v>
      </c>
      <c r="E138" s="103" t="s">
        <v>342</v>
      </c>
      <c r="F138" s="93"/>
      <c r="G138" s="116">
        <v>0</v>
      </c>
      <c r="H138" s="105" t="str">
        <f t="shared" si="26"/>
        <v>FI-JR-03-F-MN</v>
      </c>
      <c r="I138" s="91" t="s">
        <v>1315</v>
      </c>
      <c r="J138" s="92" t="s">
        <v>457</v>
      </c>
      <c r="K138" s="116">
        <v>0</v>
      </c>
      <c r="L138" s="105" t="str">
        <f t="shared" si="27"/>
        <v>FI-JR-03-F-VE</v>
      </c>
      <c r="M138" s="91" t="s">
        <v>1113</v>
      </c>
      <c r="N138" s="92" t="s">
        <v>547</v>
      </c>
      <c r="O138" s="99">
        <v>0</v>
      </c>
      <c r="P138" s="95"/>
      <c r="R138" s="89"/>
      <c r="T138" s="11" t="str">
        <f t="shared" si="28"/>
        <v>G</v>
      </c>
    </row>
    <row r="139" spans="2:20" x14ac:dyDescent="0.25">
      <c r="B139" s="90"/>
      <c r="C139" s="102" t="str">
        <f t="shared" si="25"/>
        <v>FI-JR-03-F-BG</v>
      </c>
      <c r="D139" s="91" t="s">
        <v>1096</v>
      </c>
      <c r="E139" s="103" t="s">
        <v>349</v>
      </c>
      <c r="F139" s="93"/>
      <c r="G139" s="116">
        <v>0</v>
      </c>
      <c r="H139" s="105" t="str">
        <f t="shared" si="26"/>
        <v>FI-JR-03-F-MZ</v>
      </c>
      <c r="I139" s="91" t="s">
        <v>1104</v>
      </c>
      <c r="J139" s="92" t="s">
        <v>461</v>
      </c>
      <c r="K139" s="116">
        <v>0</v>
      </c>
      <c r="L139" s="105" t="str">
        <f t="shared" si="27"/>
        <v>FI-JR-03-F-VN</v>
      </c>
      <c r="M139" s="91" t="s">
        <v>1114</v>
      </c>
      <c r="N139" s="92" t="s">
        <v>1313</v>
      </c>
      <c r="O139" s="99">
        <v>0</v>
      </c>
      <c r="P139" s="95"/>
      <c r="R139" s="89"/>
      <c r="T139" s="11" t="str">
        <f t="shared" si="28"/>
        <v>G</v>
      </c>
    </row>
    <row r="140" spans="2:20" x14ac:dyDescent="0.25">
      <c r="B140" s="90"/>
      <c r="C140" s="102" t="str">
        <f t="shared" si="25"/>
        <v>FI-JR-03-F-BF</v>
      </c>
      <c r="D140" s="91" t="s">
        <v>1097</v>
      </c>
      <c r="E140" s="103" t="s">
        <v>350</v>
      </c>
      <c r="F140" s="93"/>
      <c r="G140" s="116">
        <v>0</v>
      </c>
      <c r="H140" s="105" t="str">
        <f t="shared" si="26"/>
        <v>FI-JR-03-F-MM</v>
      </c>
      <c r="I140" s="91" t="s">
        <v>1105</v>
      </c>
      <c r="J140" s="92" t="s">
        <v>462</v>
      </c>
      <c r="K140" s="116">
        <v>0</v>
      </c>
      <c r="L140" s="105" t="str">
        <f t="shared" si="27"/>
        <v>FI-JR-03-F-VI</v>
      </c>
      <c r="M140" s="91" t="s">
        <v>1319</v>
      </c>
      <c r="N140" s="92" t="s">
        <v>1314</v>
      </c>
      <c r="O140" s="99">
        <v>0</v>
      </c>
      <c r="P140" s="95"/>
      <c r="R140" s="89"/>
      <c r="T140" s="11" t="str">
        <f t="shared" si="28"/>
        <v>G</v>
      </c>
    </row>
    <row r="141" spans="2:20" x14ac:dyDescent="0.25">
      <c r="B141" s="90"/>
      <c r="C141" s="102" t="str">
        <f t="shared" si="25"/>
        <v>FI-JR-03-F-CM</v>
      </c>
      <c r="D141" s="91" t="s">
        <v>1098</v>
      </c>
      <c r="E141" s="103" t="s">
        <v>353</v>
      </c>
      <c r="F141" s="93"/>
      <c r="G141" s="116">
        <v>0</v>
      </c>
      <c r="H141" s="105" t="str">
        <f t="shared" si="26"/>
        <v>FI-JR-03-F-NA</v>
      </c>
      <c r="I141" s="91" t="s">
        <v>1106</v>
      </c>
      <c r="J141" s="92" t="s">
        <v>463</v>
      </c>
      <c r="K141" s="116">
        <v>0</v>
      </c>
      <c r="L141" s="105" t="str">
        <f t="shared" si="27"/>
        <v>FI-JR-03-F-YE</v>
      </c>
      <c r="M141" s="91" t="s">
        <v>1115</v>
      </c>
      <c r="N141" s="92" t="s">
        <v>553</v>
      </c>
      <c r="O141" s="99">
        <v>0</v>
      </c>
      <c r="P141" s="95"/>
      <c r="R141" s="89"/>
      <c r="T141" s="11" t="str">
        <f t="shared" si="28"/>
        <v>G</v>
      </c>
    </row>
    <row r="142" spans="2:20" ht="38.25" x14ac:dyDescent="0.25">
      <c r="B142" s="90"/>
      <c r="C142" s="102" t="str">
        <f t="shared" si="25"/>
        <v>FI-JR-03-F-CD</v>
      </c>
      <c r="D142" s="91" t="s">
        <v>1099</v>
      </c>
      <c r="E142" s="103" t="s">
        <v>366</v>
      </c>
      <c r="F142" s="93"/>
      <c r="G142" s="116">
        <v>0</v>
      </c>
      <c r="H142" s="105" t="str">
        <f t="shared" si="26"/>
        <v>FI-JR-03-F-NP</v>
      </c>
      <c r="I142" s="91" t="s">
        <v>1318</v>
      </c>
      <c r="J142" s="92" t="s">
        <v>465</v>
      </c>
      <c r="K142" s="116">
        <v>0</v>
      </c>
      <c r="L142" s="95"/>
      <c r="M142" s="95"/>
      <c r="N142" s="95"/>
      <c r="O142" s="95"/>
      <c r="P142" s="95"/>
      <c r="R142" s="89"/>
      <c r="T142" s="11" t="str">
        <f t="shared" ref="T142:T147" si="29">IF(OR(AND(OR(ISBLANK(G142),ISBLANK(K142)),$R$132&gt;0),AND($R$132&lt;=0,OR(OR(G142&lt;&gt;0,K142&lt;&gt;0)))),"R","G")</f>
        <v>G</v>
      </c>
    </row>
    <row r="143" spans="2:20" x14ac:dyDescent="0.25">
      <c r="B143" s="90"/>
      <c r="C143" s="102" t="str">
        <f t="shared" si="25"/>
        <v>FI-JR-03-F-CI</v>
      </c>
      <c r="D143" s="91" t="s">
        <v>1091</v>
      </c>
      <c r="E143" s="103" t="s">
        <v>369</v>
      </c>
      <c r="F143" s="93"/>
      <c r="G143" s="116">
        <v>0</v>
      </c>
      <c r="H143" s="105" t="str">
        <f t="shared" si="26"/>
        <v>FI-JR-03-F-NG</v>
      </c>
      <c r="I143" s="91" t="s">
        <v>1107</v>
      </c>
      <c r="J143" s="92" t="s">
        <v>472</v>
      </c>
      <c r="K143" s="116">
        <v>0</v>
      </c>
      <c r="L143" s="95"/>
      <c r="M143" s="95"/>
      <c r="N143" s="95"/>
      <c r="O143" s="95"/>
      <c r="P143" s="95"/>
      <c r="R143" s="89"/>
      <c r="T143" s="11" t="str">
        <f t="shared" si="29"/>
        <v>G</v>
      </c>
    </row>
    <row r="144" spans="2:20" x14ac:dyDescent="0.25">
      <c r="B144" s="90"/>
      <c r="C144" s="102" t="str">
        <f t="shared" si="25"/>
        <v>FI-JR-03-F-HT</v>
      </c>
      <c r="D144" s="91" t="s">
        <v>1100</v>
      </c>
      <c r="E144" s="103" t="s">
        <v>408</v>
      </c>
      <c r="F144" s="93"/>
      <c r="G144" s="116">
        <v>0</v>
      </c>
      <c r="H144" s="105" t="str">
        <f t="shared" si="26"/>
        <v>FI-JR-03-F-RU</v>
      </c>
      <c r="I144" s="91" t="s">
        <v>1321</v>
      </c>
      <c r="J144" s="92" t="s">
        <v>1320</v>
      </c>
      <c r="K144" s="116">
        <v>0</v>
      </c>
      <c r="L144" s="95"/>
      <c r="M144" s="95"/>
      <c r="N144" s="95"/>
      <c r="O144" s="95"/>
      <c r="P144" s="95"/>
      <c r="R144" s="89"/>
      <c r="T144" s="11" t="str">
        <f t="shared" si="29"/>
        <v>G</v>
      </c>
    </row>
    <row r="145" spans="2:20" ht="25.5" x14ac:dyDescent="0.25">
      <c r="B145" s="90"/>
      <c r="C145" s="102" t="str">
        <f t="shared" si="25"/>
        <v>FI-JR-03-F-IR</v>
      </c>
      <c r="D145" s="91" t="s">
        <v>912</v>
      </c>
      <c r="E145" s="103" t="s">
        <v>417</v>
      </c>
      <c r="F145" s="93"/>
      <c r="G145" s="116">
        <v>0</v>
      </c>
      <c r="H145" s="105" t="str">
        <f t="shared" si="26"/>
        <v>FI-JR-03-F-ZA</v>
      </c>
      <c r="I145" s="91" t="s">
        <v>1108</v>
      </c>
      <c r="J145" s="92" t="s">
        <v>513</v>
      </c>
      <c r="K145" s="116">
        <v>0</v>
      </c>
      <c r="L145" s="95"/>
      <c r="M145" s="95"/>
      <c r="N145" s="95"/>
      <c r="O145" s="95"/>
      <c r="P145" s="95"/>
      <c r="R145" s="89"/>
      <c r="T145" s="11" t="str">
        <f t="shared" si="29"/>
        <v>G</v>
      </c>
    </row>
    <row r="146" spans="2:20" x14ac:dyDescent="0.25">
      <c r="B146" s="90"/>
      <c r="C146" s="102" t="str">
        <f t="shared" si="25"/>
        <v>FI-JR-03-F-KE</v>
      </c>
      <c r="D146" s="91" t="s">
        <v>1101</v>
      </c>
      <c r="E146" s="103" t="s">
        <v>426</v>
      </c>
      <c r="F146" s="93"/>
      <c r="G146" s="116">
        <v>0</v>
      </c>
      <c r="H146" s="105" t="str">
        <f t="shared" si="26"/>
        <v>FI-JR-03-F-SS</v>
      </c>
      <c r="I146" s="91" t="s">
        <v>1089</v>
      </c>
      <c r="J146" s="92" t="s">
        <v>1088</v>
      </c>
      <c r="K146" s="99">
        <v>0</v>
      </c>
      <c r="L146" s="94"/>
      <c r="M146" s="95"/>
      <c r="N146" s="95"/>
      <c r="O146" s="95"/>
      <c r="P146" s="95"/>
      <c r="R146" s="89"/>
      <c r="T146" s="11" t="str">
        <f t="shared" si="29"/>
        <v>G</v>
      </c>
    </row>
    <row r="147" spans="2:20" ht="25.5" x14ac:dyDescent="0.25">
      <c r="B147" s="90"/>
      <c r="C147" s="102" t="str">
        <f t="shared" si="25"/>
        <v>FI-JR-03-F-KP</v>
      </c>
      <c r="D147" s="91" t="s">
        <v>1090</v>
      </c>
      <c r="E147" s="103" t="s">
        <v>428</v>
      </c>
      <c r="F147" s="96"/>
      <c r="G147" s="116">
        <v>0</v>
      </c>
      <c r="H147" s="105" t="str">
        <f t="shared" si="26"/>
        <v>FI-JR-03-F-SY</v>
      </c>
      <c r="I147" s="91" t="s">
        <v>1109</v>
      </c>
      <c r="J147" s="92" t="s">
        <v>523</v>
      </c>
      <c r="K147" s="99">
        <v>0</v>
      </c>
      <c r="L147" s="94"/>
      <c r="M147" s="95"/>
      <c r="N147" s="95"/>
      <c r="O147" s="95"/>
      <c r="P147" s="95"/>
      <c r="R147" s="89"/>
      <c r="T147" s="11" t="str">
        <f t="shared" si="29"/>
        <v>G</v>
      </c>
    </row>
    <row r="148" spans="2:20" x14ac:dyDescent="0.25">
      <c r="B148" s="84"/>
      <c r="C148" s="84"/>
      <c r="F148" s="54"/>
      <c r="G148" s="193"/>
      <c r="H148" s="193"/>
      <c r="I148" s="193"/>
      <c r="J148" s="193"/>
      <c r="K148" s="193"/>
      <c r="L148" s="193"/>
      <c r="M148" s="193"/>
      <c r="N148" s="193"/>
      <c r="O148" s="193"/>
      <c r="P148" s="54"/>
      <c r="R148" s="89"/>
      <c r="T148" s="11"/>
    </row>
    <row r="149" spans="2:20" ht="37.5" customHeight="1" x14ac:dyDescent="0.25">
      <c r="B149" s="15" t="s">
        <v>746</v>
      </c>
      <c r="D149" s="186" t="s">
        <v>1120</v>
      </c>
      <c r="E149" s="186"/>
      <c r="F149" s="186"/>
      <c r="G149" s="186"/>
      <c r="H149" s="186"/>
      <c r="I149" s="186"/>
      <c r="J149" s="186"/>
      <c r="K149" s="186"/>
      <c r="L149" s="186"/>
      <c r="M149" s="186"/>
      <c r="N149" s="186"/>
      <c r="O149" s="186"/>
      <c r="P149" s="52"/>
      <c r="R149" s="10"/>
    </row>
    <row r="150" spans="2:20" ht="52.5" customHeight="1" x14ac:dyDescent="0.25">
      <c r="D150" s="190" t="s">
        <v>1349</v>
      </c>
      <c r="E150" s="190"/>
      <c r="F150" s="190"/>
      <c r="G150" s="190"/>
      <c r="H150" s="190"/>
      <c r="I150" s="190"/>
      <c r="J150" s="190"/>
      <c r="K150" s="190"/>
      <c r="L150" s="190"/>
      <c r="M150" s="190"/>
      <c r="N150" s="190"/>
      <c r="O150" s="190"/>
      <c r="P150" s="190"/>
      <c r="R150" s="101"/>
    </row>
    <row r="151" spans="2:20" ht="15" customHeight="1" x14ac:dyDescent="0.25">
      <c r="B151" s="46" t="str">
        <f>B149&amp;"-M"</f>
        <v>FI-JR-04-M</v>
      </c>
      <c r="C151" s="46"/>
      <c r="D151" s="84"/>
      <c r="E151" s="189" t="s">
        <v>448</v>
      </c>
      <c r="F151" s="189"/>
      <c r="G151" s="189"/>
      <c r="H151" s="189"/>
      <c r="I151" s="189"/>
      <c r="J151" s="189"/>
      <c r="K151" s="189"/>
      <c r="L151" s="189"/>
      <c r="M151" s="189"/>
      <c r="N151" s="189"/>
      <c r="O151" s="189"/>
      <c r="P151" s="52"/>
      <c r="R151" s="67"/>
      <c r="T151" s="11" t="str">
        <f>IF(ISBLANK(R151),"R","G")</f>
        <v>R</v>
      </c>
    </row>
    <row r="152" spans="2:20" ht="15" customHeight="1" x14ac:dyDescent="0.25">
      <c r="B152" s="46" t="str">
        <f>B149&amp;"-E"</f>
        <v>FI-JR-04-E</v>
      </c>
      <c r="C152" s="46"/>
      <c r="D152" s="84"/>
      <c r="E152" s="189" t="s">
        <v>1084</v>
      </c>
      <c r="F152" s="189"/>
      <c r="G152" s="189"/>
      <c r="H152" s="189"/>
      <c r="I152" s="189"/>
      <c r="J152" s="189"/>
      <c r="K152" s="189"/>
      <c r="L152" s="189"/>
      <c r="M152" s="189"/>
      <c r="N152" s="189"/>
      <c r="O152" s="189"/>
      <c r="P152" s="52"/>
      <c r="R152" s="67"/>
      <c r="T152" s="11" t="str">
        <f>IF(ISBLANK(R152),"R","G")</f>
        <v>R</v>
      </c>
    </row>
    <row r="153" spans="2:20" ht="15" customHeight="1" x14ac:dyDescent="0.25">
      <c r="B153" s="46" t="str">
        <f>B149&amp;"-N"</f>
        <v>FI-JR-04-N</v>
      </c>
      <c r="C153" s="46"/>
      <c r="D153" s="84"/>
      <c r="E153" s="189" t="s">
        <v>1085</v>
      </c>
      <c r="F153" s="189"/>
      <c r="G153" s="189"/>
      <c r="H153" s="189"/>
      <c r="I153" s="189"/>
      <c r="J153" s="189"/>
      <c r="K153" s="189"/>
      <c r="L153" s="189"/>
      <c r="M153" s="189"/>
      <c r="N153" s="189"/>
      <c r="O153" s="189"/>
      <c r="P153" s="52"/>
      <c r="R153" s="67"/>
      <c r="T153" s="11" t="str">
        <f>IF(ISBLANK(R153),"R","G")</f>
        <v>R</v>
      </c>
    </row>
    <row r="154" spans="2:20" ht="27" customHeight="1" x14ac:dyDescent="0.25">
      <c r="B154" s="46" t="str">
        <f>B149&amp;"-F"</f>
        <v>FI-JR-04-F</v>
      </c>
      <c r="C154" s="46"/>
      <c r="D154" s="84"/>
      <c r="E154" s="191" t="s">
        <v>1086</v>
      </c>
      <c r="F154" s="191"/>
      <c r="G154" s="191"/>
      <c r="H154" s="191"/>
      <c r="I154" s="191"/>
      <c r="J154" s="191"/>
      <c r="K154" s="191"/>
      <c r="L154" s="191"/>
      <c r="M154" s="191"/>
      <c r="N154" s="191"/>
      <c r="O154" s="191"/>
      <c r="P154" s="86"/>
      <c r="R154" s="67"/>
      <c r="T154" s="11" t="str">
        <f>IF(ISBLANK(R154),"R","G")</f>
        <v>R</v>
      </c>
    </row>
    <row r="155" spans="2:20" ht="9.75" customHeight="1" x14ac:dyDescent="0.25">
      <c r="B155" s="10"/>
      <c r="C155" s="10"/>
      <c r="D155" s="10"/>
      <c r="E155" s="10"/>
      <c r="F155" s="10"/>
      <c r="G155" s="10"/>
      <c r="H155" s="10"/>
      <c r="I155" s="10"/>
      <c r="J155" s="10"/>
      <c r="K155" s="10"/>
      <c r="L155" s="10"/>
      <c r="M155" s="10"/>
      <c r="N155" s="10"/>
      <c r="O155" s="10"/>
      <c r="P155" s="10"/>
      <c r="R155" s="10"/>
    </row>
    <row r="156" spans="2:20" ht="15" customHeight="1" x14ac:dyDescent="0.25">
      <c r="B156" s="87"/>
      <c r="C156" s="87"/>
      <c r="D156" s="192" t="str">
        <f>IF(R154=0,"",IF(SUM(G157:G169,K157:K169,O157:O163)=R154,"","The totals included next to each jurisdiction do not add up to "&amp;R154&amp;", please revise the figures."))</f>
        <v/>
      </c>
      <c r="E156" s="192"/>
      <c r="F156" s="192"/>
      <c r="G156" s="192"/>
      <c r="H156" s="192"/>
      <c r="I156" s="192"/>
      <c r="J156" s="192"/>
      <c r="K156" s="192"/>
      <c r="L156" s="192"/>
      <c r="M156" s="192"/>
      <c r="N156" s="192"/>
      <c r="O156" s="192"/>
      <c r="P156" s="88"/>
      <c r="R156" s="89"/>
      <c r="T156" s="11" t="str">
        <f>IF(D156="","G","R")</f>
        <v>G</v>
      </c>
    </row>
    <row r="157" spans="2:20" ht="25.5" x14ac:dyDescent="0.25">
      <c r="B157" s="90"/>
      <c r="C157" s="102" t="str">
        <f>$B$154&amp;"-"&amp;D157</f>
        <v>FI-JR-04-F-AF</v>
      </c>
      <c r="D157" s="91" t="s">
        <v>1093</v>
      </c>
      <c r="E157" s="103" t="s">
        <v>317</v>
      </c>
      <c r="F157" s="93"/>
      <c r="G157" s="116">
        <v>0</v>
      </c>
      <c r="H157" s="105" t="str">
        <f>$B$154&amp;"-"&amp;I157</f>
        <v>FI-JR-04-F-LA</v>
      </c>
      <c r="I157" s="91" t="s">
        <v>1317</v>
      </c>
      <c r="J157" s="92" t="s">
        <v>1312</v>
      </c>
      <c r="K157" s="116">
        <v>0</v>
      </c>
      <c r="L157" s="105" t="str">
        <f>$B$154&amp;"-"&amp;M157</f>
        <v>FI-JR-04-F-TZ</v>
      </c>
      <c r="M157" s="91" t="s">
        <v>1110</v>
      </c>
      <c r="N157" s="92" t="s">
        <v>526</v>
      </c>
      <c r="O157" s="99">
        <v>0</v>
      </c>
      <c r="P157" s="95"/>
      <c r="R157" s="89"/>
      <c r="T157" s="11" t="str">
        <f>IF(OR(AND(OR(ISBLANK(G157),ISBLANK(K157),ISBLANK(O157)),$R$154&gt;0),AND($R$154&lt;=0,OR(OR(G157&lt;&gt;0,K157&lt;&gt;0,O157&lt;&gt;0)))),"R","G")</f>
        <v>G</v>
      </c>
    </row>
    <row r="158" spans="2:20" x14ac:dyDescent="0.25">
      <c r="B158" s="90"/>
      <c r="C158" s="102" t="str">
        <f t="shared" ref="C158:C168" si="30">$B$154&amp;"-"&amp;D158</f>
        <v>FI-JR-04-F-DZ</v>
      </c>
      <c r="D158" s="91" t="s">
        <v>1094</v>
      </c>
      <c r="E158" s="103" t="s">
        <v>319</v>
      </c>
      <c r="F158" s="93"/>
      <c r="G158" s="116">
        <v>0</v>
      </c>
      <c r="H158" s="105" t="str">
        <f t="shared" ref="H158:H169" si="31">$B$154&amp;"-"&amp;I158</f>
        <v>FI-JR-04-F-LB</v>
      </c>
      <c r="I158" s="91" t="s">
        <v>1102</v>
      </c>
      <c r="J158" s="92" t="s">
        <v>434</v>
      </c>
      <c r="K158" s="116">
        <v>0</v>
      </c>
      <c r="L158" s="105" t="str">
        <f t="shared" ref="L158:L163" si="32">$B$154&amp;"-"&amp;M158</f>
        <v>FI-JR-04-F-TT</v>
      </c>
      <c r="M158" s="91" t="s">
        <v>1111</v>
      </c>
      <c r="N158" s="92" t="s">
        <v>532</v>
      </c>
      <c r="O158" s="99">
        <v>0</v>
      </c>
      <c r="P158" s="95"/>
      <c r="R158" s="89"/>
      <c r="T158" s="11" t="str">
        <f t="shared" ref="T158:T163" si="33">IF(OR(AND(OR(ISBLANK(G158),ISBLANK(K158),ISBLANK(O158)),$R$154&gt;0),AND($R$154&lt;=0,OR(OR(G158&lt;&gt;0,K158&lt;&gt;0,O158&lt;&gt;0)))),"R","G")</f>
        <v>G</v>
      </c>
    </row>
    <row r="159" spans="2:20" x14ac:dyDescent="0.25">
      <c r="B159" s="90"/>
      <c r="C159" s="102" t="str">
        <f t="shared" si="30"/>
        <v>FI-JR-04-F-AO</v>
      </c>
      <c r="D159" s="91" t="s">
        <v>1095</v>
      </c>
      <c r="E159" s="103" t="s">
        <v>322</v>
      </c>
      <c r="F159" s="93"/>
      <c r="G159" s="116">
        <v>0</v>
      </c>
      <c r="H159" s="105" t="str">
        <f t="shared" si="31"/>
        <v>FI-JR-04-F-ML</v>
      </c>
      <c r="I159" s="91" t="s">
        <v>1103</v>
      </c>
      <c r="J159" s="92" t="s">
        <v>447</v>
      </c>
      <c r="K159" s="116">
        <v>0</v>
      </c>
      <c r="L159" s="105" t="str">
        <f t="shared" si="32"/>
        <v>FI-JR-04-F-VU</v>
      </c>
      <c r="M159" s="91" t="s">
        <v>1112</v>
      </c>
      <c r="N159" s="92" t="s">
        <v>546</v>
      </c>
      <c r="O159" s="99">
        <v>0</v>
      </c>
      <c r="P159" s="95"/>
      <c r="R159" s="89"/>
      <c r="T159" s="11" t="str">
        <f t="shared" si="33"/>
        <v>G</v>
      </c>
    </row>
    <row r="160" spans="2:20" x14ac:dyDescent="0.25">
      <c r="B160" s="90"/>
      <c r="C160" s="102" t="str">
        <f t="shared" si="30"/>
        <v>FI-JR-04-F-BO</v>
      </c>
      <c r="D160" s="91" t="s">
        <v>1316</v>
      </c>
      <c r="E160" s="103" t="s">
        <v>342</v>
      </c>
      <c r="F160" s="93"/>
      <c r="G160" s="116">
        <v>0</v>
      </c>
      <c r="H160" s="105" t="str">
        <f t="shared" si="31"/>
        <v>FI-JR-04-F-MN</v>
      </c>
      <c r="I160" s="91" t="s">
        <v>1315</v>
      </c>
      <c r="J160" s="92" t="s">
        <v>457</v>
      </c>
      <c r="K160" s="116">
        <v>0</v>
      </c>
      <c r="L160" s="105" t="str">
        <f t="shared" si="32"/>
        <v>FI-JR-04-F-VE</v>
      </c>
      <c r="M160" s="91" t="s">
        <v>1113</v>
      </c>
      <c r="N160" s="92" t="s">
        <v>547</v>
      </c>
      <c r="O160" s="99">
        <v>0</v>
      </c>
      <c r="P160" s="95"/>
      <c r="R160" s="89"/>
      <c r="T160" s="11" t="str">
        <f t="shared" si="33"/>
        <v>G</v>
      </c>
    </row>
    <row r="161" spans="2:20" x14ac:dyDescent="0.25">
      <c r="B161" s="90"/>
      <c r="C161" s="102" t="str">
        <f t="shared" si="30"/>
        <v>FI-JR-04-F-BG</v>
      </c>
      <c r="D161" s="91" t="s">
        <v>1096</v>
      </c>
      <c r="E161" s="103" t="s">
        <v>349</v>
      </c>
      <c r="F161" s="93"/>
      <c r="G161" s="116">
        <v>0</v>
      </c>
      <c r="H161" s="105" t="str">
        <f t="shared" si="31"/>
        <v>FI-JR-04-F-MZ</v>
      </c>
      <c r="I161" s="91" t="s">
        <v>1104</v>
      </c>
      <c r="J161" s="92" t="s">
        <v>461</v>
      </c>
      <c r="K161" s="116">
        <v>0</v>
      </c>
      <c r="L161" s="105" t="str">
        <f t="shared" si="32"/>
        <v>FI-JR-04-F-VN</v>
      </c>
      <c r="M161" s="91" t="s">
        <v>1114</v>
      </c>
      <c r="N161" s="92" t="s">
        <v>1313</v>
      </c>
      <c r="O161" s="99">
        <v>0</v>
      </c>
      <c r="P161" s="95"/>
      <c r="R161" s="89"/>
      <c r="T161" s="11" t="str">
        <f t="shared" si="33"/>
        <v>G</v>
      </c>
    </row>
    <row r="162" spans="2:20" x14ac:dyDescent="0.25">
      <c r="B162" s="90"/>
      <c r="C162" s="102" t="str">
        <f t="shared" si="30"/>
        <v>FI-JR-04-F-BF</v>
      </c>
      <c r="D162" s="91" t="s">
        <v>1097</v>
      </c>
      <c r="E162" s="103" t="s">
        <v>350</v>
      </c>
      <c r="F162" s="93"/>
      <c r="G162" s="116">
        <v>0</v>
      </c>
      <c r="H162" s="105" t="str">
        <f t="shared" si="31"/>
        <v>FI-JR-04-F-MM</v>
      </c>
      <c r="I162" s="91" t="s">
        <v>1105</v>
      </c>
      <c r="J162" s="92" t="s">
        <v>462</v>
      </c>
      <c r="K162" s="116">
        <v>0</v>
      </c>
      <c r="L162" s="105" t="str">
        <f t="shared" si="32"/>
        <v>FI-JR-04-F-VI</v>
      </c>
      <c r="M162" s="91" t="s">
        <v>1319</v>
      </c>
      <c r="N162" s="92" t="s">
        <v>1314</v>
      </c>
      <c r="O162" s="99">
        <v>0</v>
      </c>
      <c r="P162" s="95"/>
      <c r="R162" s="89"/>
      <c r="T162" s="11" t="str">
        <f t="shared" si="33"/>
        <v>G</v>
      </c>
    </row>
    <row r="163" spans="2:20" x14ac:dyDescent="0.25">
      <c r="B163" s="90"/>
      <c r="C163" s="102" t="str">
        <f t="shared" si="30"/>
        <v>FI-JR-04-F-CM</v>
      </c>
      <c r="D163" s="91" t="s">
        <v>1098</v>
      </c>
      <c r="E163" s="103" t="s">
        <v>353</v>
      </c>
      <c r="F163" s="93"/>
      <c r="G163" s="116">
        <v>0</v>
      </c>
      <c r="H163" s="105" t="str">
        <f t="shared" si="31"/>
        <v>FI-JR-04-F-NA</v>
      </c>
      <c r="I163" s="91" t="s">
        <v>1106</v>
      </c>
      <c r="J163" s="92" t="s">
        <v>463</v>
      </c>
      <c r="K163" s="116">
        <v>0</v>
      </c>
      <c r="L163" s="105" t="str">
        <f t="shared" si="32"/>
        <v>FI-JR-04-F-YE</v>
      </c>
      <c r="M163" s="91" t="s">
        <v>1115</v>
      </c>
      <c r="N163" s="92" t="s">
        <v>553</v>
      </c>
      <c r="O163" s="99">
        <v>0</v>
      </c>
      <c r="P163" s="95"/>
      <c r="R163" s="89"/>
      <c r="T163" s="11" t="str">
        <f t="shared" si="33"/>
        <v>G</v>
      </c>
    </row>
    <row r="164" spans="2:20" ht="38.25" x14ac:dyDescent="0.25">
      <c r="B164" s="90"/>
      <c r="C164" s="102" t="str">
        <f t="shared" si="30"/>
        <v>FI-JR-04-F-CD</v>
      </c>
      <c r="D164" s="91" t="s">
        <v>1099</v>
      </c>
      <c r="E164" s="103" t="s">
        <v>366</v>
      </c>
      <c r="F164" s="93"/>
      <c r="G164" s="116">
        <v>0</v>
      </c>
      <c r="H164" s="105" t="str">
        <f t="shared" si="31"/>
        <v>FI-JR-04-F-NP</v>
      </c>
      <c r="I164" s="91" t="s">
        <v>1318</v>
      </c>
      <c r="J164" s="92" t="s">
        <v>465</v>
      </c>
      <c r="K164" s="116">
        <v>0</v>
      </c>
      <c r="L164" s="95"/>
      <c r="M164" s="95"/>
      <c r="N164" s="95"/>
      <c r="O164" s="95"/>
      <c r="P164" s="95"/>
      <c r="R164" s="89"/>
      <c r="T164" s="11" t="str">
        <f t="shared" ref="T164:T169" si="34">IF(OR(AND(OR(ISBLANK(G164),ISBLANK(K164)),$R$154&gt;0),AND($R$154&lt;=0,OR(OR(G164&lt;&gt;0,K164&lt;&gt;0)))),"R","G")</f>
        <v>G</v>
      </c>
    </row>
    <row r="165" spans="2:20" x14ac:dyDescent="0.25">
      <c r="B165" s="90"/>
      <c r="C165" s="102" t="str">
        <f t="shared" si="30"/>
        <v>FI-JR-04-F-CI</v>
      </c>
      <c r="D165" s="91" t="s">
        <v>1091</v>
      </c>
      <c r="E165" s="103" t="s">
        <v>369</v>
      </c>
      <c r="F165" s="93"/>
      <c r="G165" s="116">
        <v>0</v>
      </c>
      <c r="H165" s="105" t="str">
        <f t="shared" si="31"/>
        <v>FI-JR-04-F-NG</v>
      </c>
      <c r="I165" s="91" t="s">
        <v>1107</v>
      </c>
      <c r="J165" s="92" t="s">
        <v>472</v>
      </c>
      <c r="K165" s="116">
        <v>0</v>
      </c>
      <c r="L165" s="95"/>
      <c r="M165" s="95"/>
      <c r="N165" s="95"/>
      <c r="O165" s="95"/>
      <c r="P165" s="95"/>
      <c r="R165" s="89"/>
      <c r="T165" s="11" t="str">
        <f t="shared" si="34"/>
        <v>G</v>
      </c>
    </row>
    <row r="166" spans="2:20" x14ac:dyDescent="0.25">
      <c r="B166" s="90"/>
      <c r="C166" s="102" t="str">
        <f t="shared" si="30"/>
        <v>FI-JR-04-F-HT</v>
      </c>
      <c r="D166" s="91" t="s">
        <v>1100</v>
      </c>
      <c r="E166" s="103" t="s">
        <v>408</v>
      </c>
      <c r="F166" s="93"/>
      <c r="G166" s="116">
        <v>0</v>
      </c>
      <c r="H166" s="105" t="str">
        <f t="shared" si="31"/>
        <v>FI-JR-04-F-RU</v>
      </c>
      <c r="I166" s="91" t="s">
        <v>1321</v>
      </c>
      <c r="J166" s="92" t="s">
        <v>1320</v>
      </c>
      <c r="K166" s="116">
        <v>0</v>
      </c>
      <c r="L166" s="95"/>
      <c r="M166" s="95"/>
      <c r="N166" s="95"/>
      <c r="O166" s="95"/>
      <c r="P166" s="95"/>
      <c r="R166" s="89"/>
      <c r="T166" s="11" t="str">
        <f t="shared" si="34"/>
        <v>G</v>
      </c>
    </row>
    <row r="167" spans="2:20" ht="25.5" x14ac:dyDescent="0.25">
      <c r="B167" s="90"/>
      <c r="C167" s="102" t="str">
        <f t="shared" si="30"/>
        <v>FI-JR-04-F-IR</v>
      </c>
      <c r="D167" s="91" t="s">
        <v>912</v>
      </c>
      <c r="E167" s="103" t="s">
        <v>417</v>
      </c>
      <c r="F167" s="93"/>
      <c r="G167" s="116">
        <v>0</v>
      </c>
      <c r="H167" s="105" t="str">
        <f t="shared" si="31"/>
        <v>FI-JR-04-F-ZA</v>
      </c>
      <c r="I167" s="91" t="s">
        <v>1108</v>
      </c>
      <c r="J167" s="92" t="s">
        <v>513</v>
      </c>
      <c r="K167" s="116">
        <v>0</v>
      </c>
      <c r="L167" s="95"/>
      <c r="M167" s="95"/>
      <c r="N167" s="95"/>
      <c r="O167" s="95"/>
      <c r="P167" s="95"/>
      <c r="R167" s="89"/>
      <c r="T167" s="11" t="str">
        <f t="shared" si="34"/>
        <v>G</v>
      </c>
    </row>
    <row r="168" spans="2:20" x14ac:dyDescent="0.25">
      <c r="B168" s="90"/>
      <c r="C168" s="102" t="str">
        <f t="shared" si="30"/>
        <v>FI-JR-04-F-KE</v>
      </c>
      <c r="D168" s="91" t="s">
        <v>1101</v>
      </c>
      <c r="E168" s="103" t="s">
        <v>426</v>
      </c>
      <c r="F168" s="93"/>
      <c r="G168" s="116">
        <v>0</v>
      </c>
      <c r="H168" s="105" t="str">
        <f t="shared" si="31"/>
        <v>FI-JR-04-F-SS</v>
      </c>
      <c r="I168" s="91" t="s">
        <v>1089</v>
      </c>
      <c r="J168" s="92" t="s">
        <v>1088</v>
      </c>
      <c r="K168" s="99">
        <v>0</v>
      </c>
      <c r="L168" s="94"/>
      <c r="M168" s="95"/>
      <c r="N168" s="95"/>
      <c r="O168" s="95"/>
      <c r="P168" s="95"/>
      <c r="R168" s="89"/>
      <c r="T168" s="11" t="str">
        <f t="shared" si="34"/>
        <v>G</v>
      </c>
    </row>
    <row r="169" spans="2:20" ht="25.5" x14ac:dyDescent="0.25">
      <c r="B169" s="90"/>
      <c r="C169" s="102" t="str">
        <f>$B$154&amp;"-"&amp;D169</f>
        <v>FI-JR-04-F-KP</v>
      </c>
      <c r="D169" s="91" t="s">
        <v>1090</v>
      </c>
      <c r="E169" s="103" t="s">
        <v>428</v>
      </c>
      <c r="F169" s="96"/>
      <c r="G169" s="116">
        <v>0</v>
      </c>
      <c r="H169" s="105" t="str">
        <f t="shared" si="31"/>
        <v>FI-JR-04-F-SY</v>
      </c>
      <c r="I169" s="91" t="s">
        <v>1109</v>
      </c>
      <c r="J169" s="92" t="s">
        <v>523</v>
      </c>
      <c r="K169" s="99">
        <v>0</v>
      </c>
      <c r="L169" s="94"/>
      <c r="M169" s="95"/>
      <c r="N169" s="95"/>
      <c r="O169" s="95"/>
      <c r="P169" s="95"/>
      <c r="R169" s="89"/>
      <c r="T169" s="11" t="str">
        <f t="shared" si="34"/>
        <v>G</v>
      </c>
    </row>
    <row r="170" spans="2:20" x14ac:dyDescent="0.25">
      <c r="B170" s="84"/>
      <c r="C170" s="84"/>
      <c r="F170" s="54"/>
      <c r="G170" s="193"/>
      <c r="H170" s="193"/>
      <c r="I170" s="193"/>
      <c r="J170" s="193"/>
      <c r="K170" s="193"/>
      <c r="L170" s="193"/>
      <c r="M170" s="193"/>
      <c r="N170" s="193"/>
      <c r="O170" s="193"/>
      <c r="P170" s="54"/>
      <c r="R170" s="89"/>
    </row>
    <row r="171" spans="2:20" ht="32.1" customHeight="1" x14ac:dyDescent="0.25">
      <c r="B171" s="15" t="s">
        <v>769</v>
      </c>
      <c r="D171" s="186" t="s">
        <v>1174</v>
      </c>
      <c r="E171" s="186"/>
      <c r="F171" s="186"/>
      <c r="G171" s="186"/>
      <c r="H171" s="186"/>
      <c r="I171" s="186"/>
      <c r="J171" s="186"/>
      <c r="K171" s="186"/>
      <c r="L171" s="186"/>
      <c r="M171" s="186"/>
      <c r="N171" s="186"/>
      <c r="O171" s="186"/>
      <c r="P171" s="52"/>
      <c r="R171" s="16"/>
      <c r="T171" s="11" t="str">
        <f>IF(ISBLANK(R171),"R","G")</f>
        <v>R</v>
      </c>
    </row>
    <row r="172" spans="2:20" ht="24" customHeight="1" x14ac:dyDescent="0.25">
      <c r="B172" s="108" t="s">
        <v>1066</v>
      </c>
      <c r="C172" s="108"/>
      <c r="M172" s="185" t="s">
        <v>1170</v>
      </c>
      <c r="N172" s="185"/>
      <c r="O172" s="185"/>
      <c r="P172" s="185"/>
      <c r="R172" s="16"/>
      <c r="T172" s="11" t="str">
        <f>IF(OR(AND(ISBLANK(R172),OR(R171="Yes, Relevant Financial Business",R171="Yes, Relevant Activity",R171="Yes, both Relevant Financial Business and Relevant Activity")),AND(NOT(ISBLANK(R172)),AND(R171&lt;&gt;"Yes, Relevant Financial Business",R171&lt;&gt;"Yes, Relevant Activity",R171&lt;&gt;"Yes, both Relevant Financial Business and Relevant Activity"))),"R","G")</f>
        <v>G</v>
      </c>
    </row>
    <row r="173" spans="2:20" x14ac:dyDescent="0.25">
      <c r="B173" s="108"/>
      <c r="C173" s="108"/>
      <c r="N173" s="109"/>
      <c r="R173" s="34"/>
      <c r="T173" s="11"/>
    </row>
    <row r="174" spans="2:20" ht="30" customHeight="1" x14ac:dyDescent="0.25">
      <c r="B174" s="15" t="s">
        <v>770</v>
      </c>
      <c r="D174" s="186" t="s">
        <v>1175</v>
      </c>
      <c r="E174" s="186"/>
      <c r="F174" s="186"/>
      <c r="G174" s="186"/>
      <c r="H174" s="186"/>
      <c r="I174" s="186"/>
      <c r="J174" s="186"/>
      <c r="K174" s="186"/>
      <c r="L174" s="186"/>
      <c r="M174" s="186"/>
      <c r="N174" s="186"/>
      <c r="O174" s="186"/>
      <c r="P174" s="52"/>
      <c r="R174" s="16"/>
      <c r="T174" s="11" t="str">
        <f>IF(ISBLANK(R174),"R","G")</f>
        <v>R</v>
      </c>
    </row>
    <row r="175" spans="2:20" ht="21.75" customHeight="1" x14ac:dyDescent="0.25">
      <c r="B175" s="108" t="s">
        <v>1067</v>
      </c>
      <c r="C175" s="108"/>
      <c r="M175" s="185" t="s">
        <v>1170</v>
      </c>
      <c r="N175" s="185"/>
      <c r="O175" s="185"/>
      <c r="P175" s="185"/>
      <c r="R175" s="16"/>
      <c r="T175" s="11" t="str">
        <f>IF(OR(AND(ISBLANK(R175),OR(R174="Yes, Relevant Financial Business",R174="Yes, Relevant Activity",R174="Yes, both Relevant Financial Business and Relevant Activity")),AND(NOT(ISBLANK(R175)),AND(R174&lt;&gt;"Yes, Relevant Financial Business",R174&lt;&gt;"Yes, Relevant Activity",R174&lt;&gt;"Yes, both Relevant Financial Business and Relevant Activity"))),"R","G")</f>
        <v>G</v>
      </c>
    </row>
    <row r="176" spans="2:20" x14ac:dyDescent="0.25">
      <c r="E176" s="52"/>
      <c r="F176" s="52"/>
      <c r="G176" s="52"/>
      <c r="H176" s="52"/>
      <c r="I176" s="52"/>
      <c r="J176" s="52"/>
      <c r="K176" s="52"/>
      <c r="L176" s="52"/>
      <c r="M176" s="52"/>
      <c r="N176" s="52"/>
      <c r="O176" s="52"/>
      <c r="P176" s="52"/>
      <c r="R176" s="110"/>
      <c r="T176" s="11"/>
    </row>
    <row r="177" spans="1:20" ht="41.45" customHeight="1" x14ac:dyDescent="0.25">
      <c r="B177" s="15" t="s">
        <v>771</v>
      </c>
      <c r="D177" s="186" t="s">
        <v>1068</v>
      </c>
      <c r="E177" s="186"/>
      <c r="F177" s="186"/>
      <c r="G177" s="186"/>
      <c r="H177" s="186"/>
      <c r="I177" s="186"/>
      <c r="J177" s="186"/>
      <c r="K177" s="186"/>
      <c r="L177" s="186"/>
      <c r="M177" s="186"/>
      <c r="N177" s="186"/>
      <c r="O177" s="186"/>
      <c r="P177" s="52"/>
      <c r="R177" s="16"/>
      <c r="T177" s="11" t="str">
        <f>IF(ISBLANK(R177),"R","G")</f>
        <v>R</v>
      </c>
    </row>
    <row r="178" spans="1:20" ht="21.75" customHeight="1" x14ac:dyDescent="0.25">
      <c r="B178" s="108" t="s">
        <v>1069</v>
      </c>
      <c r="C178" s="108"/>
      <c r="M178" s="185" t="s">
        <v>1170</v>
      </c>
      <c r="N178" s="185"/>
      <c r="O178" s="185"/>
      <c r="P178" s="185"/>
      <c r="R178" s="16"/>
      <c r="T178" s="11" t="str">
        <f>IF(OR(AND(ISBLANK(R178),OR(R177="Yes, Relevant Financial Business",R177="Yes, Relevant Activity",R177="Yes, both Relevant Financial Business and Relevant Activity")),AND(NOT(ISBLANK(R178)),AND(R177&lt;&gt;"Yes, Relevant Financial Business",R177&lt;&gt;"Yes, Relevant Activity",R177&lt;&gt;"Yes, both Relevant Financial Business and Relevant Activity"))),"R","G")</f>
        <v>G</v>
      </c>
    </row>
    <row r="179" spans="1:20" x14ac:dyDescent="0.25">
      <c r="B179" s="84"/>
      <c r="C179" s="84"/>
      <c r="F179" s="54"/>
      <c r="G179" s="84"/>
      <c r="H179" s="84"/>
      <c r="I179" s="84"/>
      <c r="J179" s="84"/>
      <c r="K179" s="84"/>
      <c r="L179" s="84"/>
      <c r="M179" s="84"/>
      <c r="N179" s="84"/>
      <c r="O179" s="84"/>
      <c r="P179" s="54"/>
      <c r="R179" s="89"/>
    </row>
    <row r="180" spans="1:20" ht="7.35" customHeight="1" x14ac:dyDescent="0.25">
      <c r="B180" s="71"/>
      <c r="C180" s="71"/>
      <c r="D180" s="15"/>
      <c r="E180" s="15"/>
      <c r="F180" s="15"/>
      <c r="G180" s="15"/>
      <c r="H180" s="15"/>
      <c r="I180" s="15"/>
      <c r="J180" s="15"/>
      <c r="K180" s="15"/>
      <c r="L180" s="15"/>
      <c r="M180" s="72"/>
      <c r="N180" s="72"/>
      <c r="O180" s="72"/>
      <c r="P180" s="72"/>
      <c r="Q180" s="73"/>
      <c r="R180" s="74"/>
    </row>
    <row r="181" spans="1:20" ht="7.15" customHeight="1" x14ac:dyDescent="0.25">
      <c r="A181" s="75"/>
      <c r="B181" s="76"/>
      <c r="C181" s="76"/>
      <c r="D181" s="77"/>
      <c r="E181" s="77"/>
      <c r="F181" s="77"/>
      <c r="G181" s="77"/>
      <c r="H181" s="77"/>
      <c r="I181" s="77"/>
      <c r="J181" s="77"/>
      <c r="K181" s="77"/>
      <c r="L181" s="77"/>
      <c r="M181" s="77"/>
      <c r="N181" s="77"/>
      <c r="O181" s="77"/>
      <c r="P181" s="77"/>
      <c r="Q181" s="75"/>
      <c r="R181" s="78"/>
      <c r="S181" s="75"/>
      <c r="T181" s="12"/>
    </row>
    <row r="182" spans="1:20" ht="7.35" customHeight="1" x14ac:dyDescent="0.25">
      <c r="B182" s="71"/>
      <c r="C182" s="71"/>
      <c r="D182" s="15"/>
      <c r="E182" s="15"/>
      <c r="F182" s="15"/>
      <c r="G182" s="15"/>
      <c r="H182" s="15"/>
      <c r="I182" s="15"/>
      <c r="J182" s="15"/>
      <c r="K182" s="15"/>
      <c r="L182" s="15"/>
      <c r="M182" s="15"/>
      <c r="N182" s="15"/>
      <c r="O182" s="15"/>
      <c r="P182" s="15"/>
      <c r="R182" s="74"/>
    </row>
    <row r="183" spans="1:20" ht="19.5" thickBot="1" x14ac:dyDescent="0.3">
      <c r="B183" s="38" t="s">
        <v>92</v>
      </c>
      <c r="C183" s="38"/>
      <c r="D183" s="39" t="s">
        <v>1141</v>
      </c>
      <c r="E183" s="40"/>
      <c r="F183" s="40"/>
      <c r="G183" s="40"/>
      <c r="H183" s="40"/>
      <c r="I183" s="40"/>
      <c r="J183" s="40"/>
      <c r="K183" s="40"/>
      <c r="L183" s="40"/>
      <c r="M183" s="40"/>
      <c r="N183" s="40"/>
      <c r="O183" s="40"/>
      <c r="P183" s="40"/>
      <c r="Q183" s="37"/>
      <c r="R183" s="42"/>
      <c r="S183" s="37"/>
    </row>
    <row r="184" spans="1:20" ht="18.75" x14ac:dyDescent="0.25">
      <c r="B184" s="62"/>
      <c r="C184" s="62"/>
      <c r="D184" s="63"/>
      <c r="E184" s="15"/>
      <c r="F184" s="15"/>
      <c r="G184" s="15"/>
      <c r="H184" s="15"/>
      <c r="I184" s="15"/>
      <c r="J184" s="15"/>
      <c r="K184" s="15"/>
      <c r="L184" s="15"/>
      <c r="M184" s="15"/>
      <c r="N184" s="15"/>
      <c r="O184" s="15"/>
      <c r="P184" s="15"/>
      <c r="R184" s="35"/>
    </row>
    <row r="185" spans="1:20" ht="37.5" customHeight="1" x14ac:dyDescent="0.25">
      <c r="B185" s="15" t="s">
        <v>747</v>
      </c>
      <c r="D185" s="186" t="s">
        <v>1146</v>
      </c>
      <c r="E185" s="186"/>
      <c r="F185" s="186"/>
      <c r="G185" s="186"/>
      <c r="H185" s="186"/>
      <c r="I185" s="186"/>
      <c r="J185" s="186"/>
      <c r="K185" s="186"/>
      <c r="L185" s="186"/>
      <c r="M185" s="186"/>
      <c r="N185" s="186"/>
      <c r="O185" s="186"/>
      <c r="P185" s="52"/>
      <c r="R185" s="10"/>
    </row>
    <row r="186" spans="1:20" ht="52.5" customHeight="1" x14ac:dyDescent="0.25">
      <c r="D186" s="190" t="s">
        <v>1349</v>
      </c>
      <c r="E186" s="190"/>
      <c r="F186" s="190"/>
      <c r="G186" s="190"/>
      <c r="H186" s="190"/>
      <c r="I186" s="190"/>
      <c r="J186" s="190"/>
      <c r="K186" s="190"/>
      <c r="L186" s="190"/>
      <c r="M186" s="190"/>
      <c r="N186" s="190"/>
      <c r="O186" s="190"/>
      <c r="P186" s="190"/>
      <c r="R186" s="101"/>
    </row>
    <row r="187" spans="1:20" ht="15" customHeight="1" x14ac:dyDescent="0.25">
      <c r="B187" s="46" t="str">
        <f>B185&amp;"-M"</f>
        <v>FI-JR-33-M</v>
      </c>
      <c r="C187" s="46"/>
      <c r="D187" s="84"/>
      <c r="E187" s="189" t="s">
        <v>448</v>
      </c>
      <c r="F187" s="189"/>
      <c r="G187" s="189"/>
      <c r="H187" s="189"/>
      <c r="I187" s="189"/>
      <c r="J187" s="189"/>
      <c r="K187" s="189"/>
      <c r="L187" s="189"/>
      <c r="M187" s="189"/>
      <c r="N187" s="189"/>
      <c r="O187" s="189"/>
      <c r="P187" s="52"/>
      <c r="R187" s="67"/>
      <c r="T187" s="11" t="str">
        <f>IF(OR(AND(ISBLANK(R187),CR.50&gt;0),AND(CR.50&lt;=0,NOT(ISBLANK(R187)))),"R","G")</f>
        <v>G</v>
      </c>
    </row>
    <row r="188" spans="1:20" ht="15" customHeight="1" x14ac:dyDescent="0.25">
      <c r="B188" s="46" t="str">
        <f>B185&amp;"-E"</f>
        <v>FI-JR-33-E</v>
      </c>
      <c r="C188" s="46"/>
      <c r="D188" s="84"/>
      <c r="E188" s="189" t="s">
        <v>1084</v>
      </c>
      <c r="F188" s="189"/>
      <c r="G188" s="189"/>
      <c r="H188" s="189"/>
      <c r="I188" s="189"/>
      <c r="J188" s="189"/>
      <c r="K188" s="189"/>
      <c r="L188" s="189"/>
      <c r="M188" s="189"/>
      <c r="N188" s="189"/>
      <c r="O188" s="189"/>
      <c r="P188" s="52"/>
      <c r="R188" s="67"/>
      <c r="T188" s="11" t="str">
        <f>IF(OR(AND(ISBLANK(R188),CR.50&gt;0),AND(CR.50&lt;=0,NOT(ISBLANK(R188)))),"R","G")</f>
        <v>G</v>
      </c>
    </row>
    <row r="189" spans="1:20" ht="15" customHeight="1" x14ac:dyDescent="0.25">
      <c r="B189" s="46" t="str">
        <f>B185&amp;"-N"</f>
        <v>FI-JR-33-N</v>
      </c>
      <c r="C189" s="46"/>
      <c r="D189" s="84"/>
      <c r="E189" s="189" t="s">
        <v>1085</v>
      </c>
      <c r="F189" s="189"/>
      <c r="G189" s="189"/>
      <c r="H189" s="189"/>
      <c r="I189" s="189"/>
      <c r="J189" s="189"/>
      <c r="K189" s="189"/>
      <c r="L189" s="189"/>
      <c r="M189" s="189"/>
      <c r="N189" s="189"/>
      <c r="O189" s="189"/>
      <c r="P189" s="52"/>
      <c r="R189" s="67"/>
      <c r="T189" s="11" t="str">
        <f>IF(OR(AND(ISBLANK(R189),CR.50&gt;0),AND(CR.50&lt;=0,NOT(ISBLANK(R189)))),"R","G")</f>
        <v>G</v>
      </c>
    </row>
    <row r="190" spans="1:20" ht="27" customHeight="1" x14ac:dyDescent="0.25">
      <c r="B190" s="46" t="str">
        <f>B185&amp;"-F"</f>
        <v>FI-JR-33-F</v>
      </c>
      <c r="C190" s="46"/>
      <c r="D190" s="84"/>
      <c r="E190" s="191" t="s">
        <v>1086</v>
      </c>
      <c r="F190" s="191"/>
      <c r="G190" s="191"/>
      <c r="H190" s="191"/>
      <c r="I190" s="191"/>
      <c r="J190" s="191"/>
      <c r="K190" s="191"/>
      <c r="L190" s="191"/>
      <c r="M190" s="191"/>
      <c r="N190" s="191"/>
      <c r="O190" s="191"/>
      <c r="P190" s="86"/>
      <c r="R190" s="67"/>
      <c r="T190" s="11" t="str">
        <f>IF(OR(AND(ISBLANK(R190),CR.50&gt;0),AND(CR.50&lt;=0,NOT(ISBLANK(R190)))),"R","G")</f>
        <v>G</v>
      </c>
    </row>
    <row r="191" spans="1:20" ht="9.75" customHeight="1" x14ac:dyDescent="0.25">
      <c r="B191" s="10"/>
      <c r="C191" s="10"/>
      <c r="D191" s="10"/>
      <c r="E191" s="10"/>
      <c r="F191" s="10"/>
      <c r="G191" s="10"/>
      <c r="H191" s="10"/>
      <c r="I191" s="10"/>
      <c r="J191" s="10"/>
      <c r="K191" s="10"/>
      <c r="L191" s="10"/>
      <c r="M191" s="10"/>
      <c r="N191" s="10"/>
      <c r="O191" s="10"/>
      <c r="P191" s="10"/>
      <c r="R191" s="10"/>
    </row>
    <row r="192" spans="1:20" ht="15" customHeight="1" x14ac:dyDescent="0.25">
      <c r="B192" s="87"/>
      <c r="C192" s="87"/>
      <c r="D192" s="192" t="str">
        <f>IF(R190=0,"",IF(SUM(G193:G205,K193:K205,O193:O199)=R190,"","The totals included next to each jurisdiction do not add up to "&amp;R190&amp;", please revise the figures."))</f>
        <v/>
      </c>
      <c r="E192" s="192"/>
      <c r="F192" s="192"/>
      <c r="G192" s="192"/>
      <c r="H192" s="192"/>
      <c r="I192" s="192"/>
      <c r="J192" s="192"/>
      <c r="K192" s="192"/>
      <c r="L192" s="192"/>
      <c r="M192" s="192"/>
      <c r="N192" s="192"/>
      <c r="O192" s="192"/>
      <c r="P192" s="88"/>
      <c r="R192" s="89"/>
      <c r="T192" s="11" t="str">
        <f>IF(D192="","G","R")</f>
        <v>G</v>
      </c>
    </row>
    <row r="193" spans="2:20" ht="25.5" x14ac:dyDescent="0.25">
      <c r="B193" s="90"/>
      <c r="C193" s="102" t="str">
        <f>$B$190&amp;"-"&amp;D193</f>
        <v>FI-JR-33-F-AF</v>
      </c>
      <c r="D193" s="91" t="s">
        <v>1093</v>
      </c>
      <c r="E193" s="103" t="s">
        <v>317</v>
      </c>
      <c r="F193" s="93"/>
      <c r="G193" s="116">
        <v>0</v>
      </c>
      <c r="H193" s="105" t="str">
        <f>$B$190&amp;"-"&amp;I193</f>
        <v>FI-JR-33-F-LA</v>
      </c>
      <c r="I193" s="91" t="s">
        <v>1317</v>
      </c>
      <c r="J193" s="92" t="s">
        <v>1312</v>
      </c>
      <c r="K193" s="116">
        <v>0</v>
      </c>
      <c r="L193" s="105" t="str">
        <f>$B$190&amp;"-"&amp;M193</f>
        <v>FI-JR-33-F-TZ</v>
      </c>
      <c r="M193" s="91" t="s">
        <v>1110</v>
      </c>
      <c r="N193" s="92" t="s">
        <v>526</v>
      </c>
      <c r="O193" s="99">
        <v>0</v>
      </c>
      <c r="P193" s="95"/>
      <c r="R193" s="89"/>
      <c r="T193" s="11" t="str">
        <f>IF(OR(AND(OR(ISBLANK(G193),ISBLANK(K193),ISBLANK(O193)),$R$190&gt;0),AND($R$190&lt;=0,OR(OR(G193&lt;&gt;0,K193&lt;&gt;0,O193&lt;&gt;0)))),"R","G")</f>
        <v>G</v>
      </c>
    </row>
    <row r="194" spans="2:20" x14ac:dyDescent="0.25">
      <c r="B194" s="90"/>
      <c r="C194" s="102" t="str">
        <f t="shared" ref="C194:C205" si="35">$B$190&amp;"-"&amp;D194</f>
        <v>FI-JR-33-F-DZ</v>
      </c>
      <c r="D194" s="91" t="s">
        <v>1094</v>
      </c>
      <c r="E194" s="103" t="s">
        <v>319</v>
      </c>
      <c r="F194" s="93"/>
      <c r="G194" s="116">
        <v>0</v>
      </c>
      <c r="H194" s="105" t="str">
        <f t="shared" ref="H194:H205" si="36">$B$190&amp;"-"&amp;I194</f>
        <v>FI-JR-33-F-LB</v>
      </c>
      <c r="I194" s="91" t="s">
        <v>1102</v>
      </c>
      <c r="J194" s="92" t="s">
        <v>434</v>
      </c>
      <c r="K194" s="116">
        <v>0</v>
      </c>
      <c r="L194" s="105" t="str">
        <f t="shared" ref="L194:L199" si="37">$B$190&amp;"-"&amp;M194</f>
        <v>FI-JR-33-F-TT</v>
      </c>
      <c r="M194" s="91" t="s">
        <v>1111</v>
      </c>
      <c r="N194" s="92" t="s">
        <v>532</v>
      </c>
      <c r="O194" s="99">
        <v>0</v>
      </c>
      <c r="P194" s="95"/>
      <c r="R194" s="89"/>
      <c r="T194" s="11" t="str">
        <f t="shared" ref="T194:T199" si="38">IF(OR(AND(OR(ISBLANK(G194),ISBLANK(K194),ISBLANK(O194)),$R$190&gt;0),AND($R$190&lt;=0,OR(OR(G194&lt;&gt;0,K194&lt;&gt;0,O194&lt;&gt;0)))),"R","G")</f>
        <v>G</v>
      </c>
    </row>
    <row r="195" spans="2:20" x14ac:dyDescent="0.25">
      <c r="B195" s="90"/>
      <c r="C195" s="102" t="str">
        <f t="shared" si="35"/>
        <v>FI-JR-33-F-AO</v>
      </c>
      <c r="D195" s="91" t="s">
        <v>1095</v>
      </c>
      <c r="E195" s="103" t="s">
        <v>322</v>
      </c>
      <c r="F195" s="93"/>
      <c r="G195" s="116">
        <v>0</v>
      </c>
      <c r="H195" s="105" t="str">
        <f t="shared" si="36"/>
        <v>FI-JR-33-F-ML</v>
      </c>
      <c r="I195" s="91" t="s">
        <v>1103</v>
      </c>
      <c r="J195" s="92" t="s">
        <v>447</v>
      </c>
      <c r="K195" s="116">
        <v>0</v>
      </c>
      <c r="L195" s="105" t="str">
        <f t="shared" si="37"/>
        <v>FI-JR-33-F-VU</v>
      </c>
      <c r="M195" s="91" t="s">
        <v>1112</v>
      </c>
      <c r="N195" s="92" t="s">
        <v>546</v>
      </c>
      <c r="O195" s="99">
        <v>0</v>
      </c>
      <c r="P195" s="95"/>
      <c r="R195" s="89"/>
      <c r="T195" s="11" t="str">
        <f t="shared" si="38"/>
        <v>G</v>
      </c>
    </row>
    <row r="196" spans="2:20" x14ac:dyDescent="0.25">
      <c r="B196" s="90"/>
      <c r="C196" s="102" t="str">
        <f t="shared" si="35"/>
        <v>FI-JR-33-F-BO</v>
      </c>
      <c r="D196" s="91" t="s">
        <v>1316</v>
      </c>
      <c r="E196" s="103" t="s">
        <v>342</v>
      </c>
      <c r="F196" s="93"/>
      <c r="G196" s="116">
        <v>0</v>
      </c>
      <c r="H196" s="105" t="str">
        <f t="shared" si="36"/>
        <v>FI-JR-33-F-MN</v>
      </c>
      <c r="I196" s="91" t="s">
        <v>1315</v>
      </c>
      <c r="J196" s="92" t="s">
        <v>457</v>
      </c>
      <c r="K196" s="116">
        <v>0</v>
      </c>
      <c r="L196" s="105" t="str">
        <f t="shared" si="37"/>
        <v>FI-JR-33-F-VE</v>
      </c>
      <c r="M196" s="91" t="s">
        <v>1113</v>
      </c>
      <c r="N196" s="92" t="s">
        <v>547</v>
      </c>
      <c r="O196" s="99">
        <v>0</v>
      </c>
      <c r="P196" s="95"/>
      <c r="R196" s="89"/>
      <c r="T196" s="11" t="str">
        <f t="shared" si="38"/>
        <v>G</v>
      </c>
    </row>
    <row r="197" spans="2:20" x14ac:dyDescent="0.25">
      <c r="B197" s="90"/>
      <c r="C197" s="102" t="str">
        <f t="shared" si="35"/>
        <v>FI-JR-33-F-BG</v>
      </c>
      <c r="D197" s="91" t="s">
        <v>1096</v>
      </c>
      <c r="E197" s="103" t="s">
        <v>349</v>
      </c>
      <c r="F197" s="93"/>
      <c r="G197" s="116">
        <v>0</v>
      </c>
      <c r="H197" s="105" t="str">
        <f t="shared" si="36"/>
        <v>FI-JR-33-F-MZ</v>
      </c>
      <c r="I197" s="91" t="s">
        <v>1104</v>
      </c>
      <c r="J197" s="92" t="s">
        <v>461</v>
      </c>
      <c r="K197" s="116">
        <v>0</v>
      </c>
      <c r="L197" s="105" t="str">
        <f t="shared" si="37"/>
        <v>FI-JR-33-F-VN</v>
      </c>
      <c r="M197" s="91" t="s">
        <v>1114</v>
      </c>
      <c r="N197" s="92" t="s">
        <v>1313</v>
      </c>
      <c r="O197" s="99">
        <v>0</v>
      </c>
      <c r="P197" s="95"/>
      <c r="R197" s="89"/>
      <c r="T197" s="11" t="str">
        <f t="shared" si="38"/>
        <v>G</v>
      </c>
    </row>
    <row r="198" spans="2:20" x14ac:dyDescent="0.25">
      <c r="B198" s="90"/>
      <c r="C198" s="102" t="str">
        <f t="shared" si="35"/>
        <v>FI-JR-33-F-BF</v>
      </c>
      <c r="D198" s="91" t="s">
        <v>1097</v>
      </c>
      <c r="E198" s="103" t="s">
        <v>350</v>
      </c>
      <c r="F198" s="93"/>
      <c r="G198" s="116">
        <v>0</v>
      </c>
      <c r="H198" s="105" t="str">
        <f t="shared" si="36"/>
        <v>FI-JR-33-F-MM</v>
      </c>
      <c r="I198" s="91" t="s">
        <v>1105</v>
      </c>
      <c r="J198" s="92" t="s">
        <v>462</v>
      </c>
      <c r="K198" s="116">
        <v>0</v>
      </c>
      <c r="L198" s="105" t="str">
        <f t="shared" si="37"/>
        <v>FI-JR-33-F-VI</v>
      </c>
      <c r="M198" s="91" t="s">
        <v>1319</v>
      </c>
      <c r="N198" s="92" t="s">
        <v>1314</v>
      </c>
      <c r="O198" s="99">
        <v>0</v>
      </c>
      <c r="P198" s="95"/>
      <c r="R198" s="89"/>
      <c r="T198" s="11" t="str">
        <f t="shared" si="38"/>
        <v>G</v>
      </c>
    </row>
    <row r="199" spans="2:20" x14ac:dyDescent="0.25">
      <c r="B199" s="90"/>
      <c r="C199" s="102" t="str">
        <f t="shared" si="35"/>
        <v>FI-JR-33-F-CM</v>
      </c>
      <c r="D199" s="91" t="s">
        <v>1098</v>
      </c>
      <c r="E199" s="103" t="s">
        <v>353</v>
      </c>
      <c r="F199" s="93"/>
      <c r="G199" s="116">
        <v>0</v>
      </c>
      <c r="H199" s="105" t="str">
        <f t="shared" si="36"/>
        <v>FI-JR-33-F-NA</v>
      </c>
      <c r="I199" s="91" t="s">
        <v>1106</v>
      </c>
      <c r="J199" s="92" t="s">
        <v>463</v>
      </c>
      <c r="K199" s="116">
        <v>0</v>
      </c>
      <c r="L199" s="105" t="str">
        <f t="shared" si="37"/>
        <v>FI-JR-33-F-YE</v>
      </c>
      <c r="M199" s="91" t="s">
        <v>1115</v>
      </c>
      <c r="N199" s="92" t="s">
        <v>553</v>
      </c>
      <c r="O199" s="99">
        <v>0</v>
      </c>
      <c r="P199" s="95"/>
      <c r="R199" s="89"/>
      <c r="T199" s="11" t="str">
        <f t="shared" si="38"/>
        <v>G</v>
      </c>
    </row>
    <row r="200" spans="2:20" ht="38.25" x14ac:dyDescent="0.25">
      <c r="B200" s="90"/>
      <c r="C200" s="102" t="str">
        <f t="shared" si="35"/>
        <v>FI-JR-33-F-CD</v>
      </c>
      <c r="D200" s="91" t="s">
        <v>1099</v>
      </c>
      <c r="E200" s="103" t="s">
        <v>366</v>
      </c>
      <c r="F200" s="93"/>
      <c r="G200" s="116">
        <v>0</v>
      </c>
      <c r="H200" s="105" t="str">
        <f t="shared" si="36"/>
        <v>FI-JR-33-F-NP</v>
      </c>
      <c r="I200" s="91" t="s">
        <v>1318</v>
      </c>
      <c r="J200" s="92" t="s">
        <v>465</v>
      </c>
      <c r="K200" s="116">
        <v>0</v>
      </c>
      <c r="L200" s="95"/>
      <c r="M200" s="95"/>
      <c r="N200" s="95"/>
      <c r="O200" s="95"/>
      <c r="P200" s="95"/>
      <c r="R200" s="89"/>
      <c r="T200" s="11" t="str">
        <f t="shared" ref="T200:T205" si="39">IF(OR(AND(OR(ISBLANK(G200),ISBLANK(K200)),$R$190&gt;0),AND($R$190&lt;=0,OR(OR(G200&lt;&gt;0,K200&lt;&gt;0)))),"R","G")</f>
        <v>G</v>
      </c>
    </row>
    <row r="201" spans="2:20" x14ac:dyDescent="0.25">
      <c r="B201" s="90"/>
      <c r="C201" s="102" t="str">
        <f t="shared" si="35"/>
        <v>FI-JR-33-F-CI</v>
      </c>
      <c r="D201" s="91" t="s">
        <v>1091</v>
      </c>
      <c r="E201" s="103" t="s">
        <v>369</v>
      </c>
      <c r="F201" s="93"/>
      <c r="G201" s="116">
        <v>0</v>
      </c>
      <c r="H201" s="105" t="str">
        <f t="shared" si="36"/>
        <v>FI-JR-33-F-NG</v>
      </c>
      <c r="I201" s="91" t="s">
        <v>1107</v>
      </c>
      <c r="J201" s="92" t="s">
        <v>472</v>
      </c>
      <c r="K201" s="116">
        <v>0</v>
      </c>
      <c r="L201" s="95"/>
      <c r="M201" s="95"/>
      <c r="N201" s="95"/>
      <c r="O201" s="95"/>
      <c r="P201" s="95"/>
      <c r="R201" s="89"/>
      <c r="T201" s="11" t="str">
        <f t="shared" si="39"/>
        <v>G</v>
      </c>
    </row>
    <row r="202" spans="2:20" x14ac:dyDescent="0.25">
      <c r="B202" s="90"/>
      <c r="C202" s="102" t="str">
        <f t="shared" si="35"/>
        <v>FI-JR-33-F-HT</v>
      </c>
      <c r="D202" s="91" t="s">
        <v>1100</v>
      </c>
      <c r="E202" s="103" t="s">
        <v>408</v>
      </c>
      <c r="F202" s="93"/>
      <c r="G202" s="116">
        <v>0</v>
      </c>
      <c r="H202" s="105" t="str">
        <f t="shared" si="36"/>
        <v>FI-JR-33-F-RU</v>
      </c>
      <c r="I202" s="91" t="s">
        <v>1321</v>
      </c>
      <c r="J202" s="92" t="s">
        <v>1320</v>
      </c>
      <c r="K202" s="116">
        <v>0</v>
      </c>
      <c r="L202" s="95"/>
      <c r="M202" s="95"/>
      <c r="N202" s="95"/>
      <c r="O202" s="95"/>
      <c r="P202" s="95"/>
      <c r="R202" s="89"/>
      <c r="T202" s="11" t="str">
        <f t="shared" si="39"/>
        <v>G</v>
      </c>
    </row>
    <row r="203" spans="2:20" ht="25.5" x14ac:dyDescent="0.25">
      <c r="B203" s="90"/>
      <c r="C203" s="102" t="str">
        <f t="shared" si="35"/>
        <v>FI-JR-33-F-IR</v>
      </c>
      <c r="D203" s="91" t="s">
        <v>912</v>
      </c>
      <c r="E203" s="103" t="s">
        <v>417</v>
      </c>
      <c r="F203" s="93"/>
      <c r="G203" s="116">
        <v>0</v>
      </c>
      <c r="H203" s="105" t="str">
        <f t="shared" si="36"/>
        <v>FI-JR-33-F-ZA</v>
      </c>
      <c r="I203" s="91" t="s">
        <v>1108</v>
      </c>
      <c r="J203" s="92" t="s">
        <v>513</v>
      </c>
      <c r="K203" s="116">
        <v>0</v>
      </c>
      <c r="L203" s="95"/>
      <c r="M203" s="95"/>
      <c r="N203" s="95"/>
      <c r="O203" s="95"/>
      <c r="P203" s="95"/>
      <c r="R203" s="89"/>
      <c r="T203" s="11" t="str">
        <f t="shared" si="39"/>
        <v>G</v>
      </c>
    </row>
    <row r="204" spans="2:20" x14ac:dyDescent="0.25">
      <c r="B204" s="90"/>
      <c r="C204" s="102" t="str">
        <f t="shared" si="35"/>
        <v>FI-JR-33-F-KE</v>
      </c>
      <c r="D204" s="91" t="s">
        <v>1101</v>
      </c>
      <c r="E204" s="103" t="s">
        <v>426</v>
      </c>
      <c r="F204" s="93"/>
      <c r="G204" s="116">
        <v>0</v>
      </c>
      <c r="H204" s="105" t="str">
        <f t="shared" si="36"/>
        <v>FI-JR-33-F-SS</v>
      </c>
      <c r="I204" s="91" t="s">
        <v>1089</v>
      </c>
      <c r="J204" s="92" t="s">
        <v>1088</v>
      </c>
      <c r="K204" s="99">
        <v>0</v>
      </c>
      <c r="L204" s="94"/>
      <c r="M204" s="95"/>
      <c r="N204" s="95"/>
      <c r="O204" s="95"/>
      <c r="P204" s="95"/>
      <c r="R204" s="89"/>
      <c r="T204" s="11" t="str">
        <f t="shared" si="39"/>
        <v>G</v>
      </c>
    </row>
    <row r="205" spans="2:20" ht="25.5" x14ac:dyDescent="0.25">
      <c r="B205" s="90"/>
      <c r="C205" s="102" t="str">
        <f t="shared" si="35"/>
        <v>FI-JR-33-F-KP</v>
      </c>
      <c r="D205" s="91" t="s">
        <v>1090</v>
      </c>
      <c r="E205" s="103" t="s">
        <v>428</v>
      </c>
      <c r="F205" s="96"/>
      <c r="G205" s="116">
        <v>0</v>
      </c>
      <c r="H205" s="105" t="str">
        <f t="shared" si="36"/>
        <v>FI-JR-33-F-SY</v>
      </c>
      <c r="I205" s="91" t="s">
        <v>1109</v>
      </c>
      <c r="J205" s="92" t="s">
        <v>523</v>
      </c>
      <c r="K205" s="99">
        <v>0</v>
      </c>
      <c r="L205" s="94"/>
      <c r="M205" s="95"/>
      <c r="N205" s="95"/>
      <c r="O205" s="95"/>
      <c r="P205" s="95"/>
      <c r="R205" s="89"/>
      <c r="T205" s="11" t="str">
        <f t="shared" si="39"/>
        <v>G</v>
      </c>
    </row>
    <row r="206" spans="2:20" x14ac:dyDescent="0.25">
      <c r="B206" s="84"/>
      <c r="C206" s="84"/>
      <c r="F206" s="54"/>
      <c r="G206" s="193"/>
      <c r="H206" s="193"/>
      <c r="I206" s="193"/>
      <c r="J206" s="193"/>
      <c r="K206" s="193"/>
      <c r="L206" s="193"/>
      <c r="M206" s="193"/>
      <c r="N206" s="193"/>
      <c r="O206" s="193"/>
      <c r="P206" s="54"/>
      <c r="R206" s="89"/>
    </row>
    <row r="207" spans="2:20" ht="37.5" customHeight="1" x14ac:dyDescent="0.25">
      <c r="B207" s="15" t="s">
        <v>748</v>
      </c>
      <c r="D207" s="186" t="s">
        <v>1148</v>
      </c>
      <c r="E207" s="186"/>
      <c r="F207" s="186"/>
      <c r="G207" s="186"/>
      <c r="H207" s="186"/>
      <c r="I207" s="186"/>
      <c r="J207" s="186"/>
      <c r="K207" s="186"/>
      <c r="L207" s="186"/>
      <c r="M207" s="186"/>
      <c r="N207" s="186"/>
      <c r="O207" s="186"/>
      <c r="P207" s="52"/>
      <c r="R207" s="10"/>
    </row>
    <row r="208" spans="2:20" ht="52.5" customHeight="1" x14ac:dyDescent="0.25">
      <c r="D208" s="190" t="s">
        <v>1349</v>
      </c>
      <c r="E208" s="190"/>
      <c r="F208" s="190"/>
      <c r="G208" s="190"/>
      <c r="H208" s="190"/>
      <c r="I208" s="190"/>
      <c r="J208" s="190"/>
      <c r="K208" s="190"/>
      <c r="L208" s="190"/>
      <c r="M208" s="190"/>
      <c r="N208" s="190"/>
      <c r="O208" s="190"/>
      <c r="P208" s="190"/>
      <c r="R208" s="101"/>
    </row>
    <row r="209" spans="2:20" ht="15" customHeight="1" x14ac:dyDescent="0.25">
      <c r="B209" s="46" t="str">
        <f>B207&amp;"-M"</f>
        <v>FI-JR-34-M</v>
      </c>
      <c r="C209" s="46"/>
      <c r="D209" s="84"/>
      <c r="E209" s="189" t="s">
        <v>448</v>
      </c>
      <c r="F209" s="189"/>
      <c r="G209" s="189"/>
      <c r="H209" s="189"/>
      <c r="I209" s="189"/>
      <c r="J209" s="189"/>
      <c r="K209" s="189"/>
      <c r="L209" s="189"/>
      <c r="M209" s="189"/>
      <c r="N209" s="189"/>
      <c r="O209" s="189"/>
      <c r="P209" s="52"/>
      <c r="R209" s="67"/>
      <c r="T209" s="11" t="str">
        <f>IF(OR(AND(ISBLANK(R209),CR.51&gt;0),AND(CR.51&lt;=0,NOT(ISBLANK(R209)))),"R","G")</f>
        <v>G</v>
      </c>
    </row>
    <row r="210" spans="2:20" ht="15" customHeight="1" x14ac:dyDescent="0.25">
      <c r="B210" s="46" t="str">
        <f>B207&amp;"-E"</f>
        <v>FI-JR-34-E</v>
      </c>
      <c r="C210" s="46"/>
      <c r="D210" s="84"/>
      <c r="E210" s="189" t="s">
        <v>1084</v>
      </c>
      <c r="F210" s="189"/>
      <c r="G210" s="189"/>
      <c r="H210" s="189"/>
      <c r="I210" s="189"/>
      <c r="J210" s="189"/>
      <c r="K210" s="189"/>
      <c r="L210" s="189"/>
      <c r="M210" s="189"/>
      <c r="N210" s="189"/>
      <c r="O210" s="189"/>
      <c r="P210" s="52"/>
      <c r="R210" s="67"/>
      <c r="T210" s="11" t="str">
        <f>IF(OR(AND(ISBLANK(R210),CR.51&gt;0),AND(CR.51&lt;=0,NOT(ISBLANK(R210)))),"R","G")</f>
        <v>G</v>
      </c>
    </row>
    <row r="211" spans="2:20" ht="15" customHeight="1" x14ac:dyDescent="0.25">
      <c r="B211" s="46" t="str">
        <f>B207&amp;"-N"</f>
        <v>FI-JR-34-N</v>
      </c>
      <c r="C211" s="46"/>
      <c r="D211" s="84"/>
      <c r="E211" s="189" t="s">
        <v>1085</v>
      </c>
      <c r="F211" s="189"/>
      <c r="G211" s="189"/>
      <c r="H211" s="189"/>
      <c r="I211" s="189"/>
      <c r="J211" s="189"/>
      <c r="K211" s="189"/>
      <c r="L211" s="189"/>
      <c r="M211" s="189"/>
      <c r="N211" s="189"/>
      <c r="O211" s="189"/>
      <c r="P211" s="52"/>
      <c r="R211" s="67"/>
      <c r="T211" s="11" t="str">
        <f>IF(OR(AND(ISBLANK(R211),CR.51&gt;0),AND(CR.51&lt;=0,NOT(ISBLANK(R211)))),"R","G")</f>
        <v>G</v>
      </c>
    </row>
    <row r="212" spans="2:20" ht="27" customHeight="1" x14ac:dyDescent="0.25">
      <c r="B212" s="46" t="str">
        <f>B207&amp;"-F"</f>
        <v>FI-JR-34-F</v>
      </c>
      <c r="C212" s="46"/>
      <c r="D212" s="84"/>
      <c r="E212" s="191" t="s">
        <v>1086</v>
      </c>
      <c r="F212" s="191"/>
      <c r="G212" s="191"/>
      <c r="H212" s="191"/>
      <c r="I212" s="191"/>
      <c r="J212" s="191"/>
      <c r="K212" s="191"/>
      <c r="L212" s="191"/>
      <c r="M212" s="191"/>
      <c r="N212" s="191"/>
      <c r="O212" s="191"/>
      <c r="P212" s="86"/>
      <c r="R212" s="67"/>
      <c r="T212" s="11" t="str">
        <f>IF(OR(AND(ISBLANK(R212),CR.51&gt;0),AND(CR.51&lt;=0,NOT(ISBLANK(R212)))),"R","G")</f>
        <v>G</v>
      </c>
    </row>
    <row r="213" spans="2:20" ht="9.75" customHeight="1" x14ac:dyDescent="0.25">
      <c r="B213" s="10"/>
      <c r="C213" s="10"/>
      <c r="D213" s="10"/>
      <c r="E213" s="10"/>
      <c r="F213" s="10"/>
      <c r="G213" s="10"/>
      <c r="H213" s="10"/>
      <c r="I213" s="10"/>
      <c r="J213" s="10"/>
      <c r="K213" s="10"/>
      <c r="L213" s="10"/>
      <c r="M213" s="10"/>
      <c r="N213" s="10"/>
      <c r="O213" s="10"/>
      <c r="P213" s="10"/>
      <c r="R213" s="10"/>
    </row>
    <row r="214" spans="2:20" ht="15" customHeight="1" x14ac:dyDescent="0.25">
      <c r="B214" s="87"/>
      <c r="C214" s="87"/>
      <c r="D214" s="192" t="str">
        <f>IF(R212=0,"",IF(SUM(G215:G227,K215:K227,O215:O221)=R212,"","The totals included next to each jurisdiction do not add up to "&amp;R212&amp;", please revise the figures."))</f>
        <v/>
      </c>
      <c r="E214" s="192"/>
      <c r="F214" s="192"/>
      <c r="G214" s="192"/>
      <c r="H214" s="192"/>
      <c r="I214" s="192"/>
      <c r="J214" s="192"/>
      <c r="K214" s="192"/>
      <c r="L214" s="192"/>
      <c r="M214" s="192"/>
      <c r="N214" s="192"/>
      <c r="O214" s="192"/>
      <c r="P214" s="88"/>
      <c r="R214" s="89"/>
      <c r="T214" s="11" t="str">
        <f>IF(D214="","G","R")</f>
        <v>G</v>
      </c>
    </row>
    <row r="215" spans="2:20" ht="25.5" x14ac:dyDescent="0.25">
      <c r="B215" s="90"/>
      <c r="C215" s="102" t="str">
        <f>$B$212&amp;"-"&amp;D215</f>
        <v>FI-JR-34-F-AF</v>
      </c>
      <c r="D215" s="91" t="s">
        <v>1093</v>
      </c>
      <c r="E215" s="103" t="s">
        <v>317</v>
      </c>
      <c r="F215" s="93"/>
      <c r="G215" s="116">
        <v>0</v>
      </c>
      <c r="H215" s="105" t="str">
        <f t="shared" ref="H215:H227" si="40">$B$212&amp;"-"&amp;I215</f>
        <v>FI-JR-34-F-LA</v>
      </c>
      <c r="I215" s="91" t="s">
        <v>1317</v>
      </c>
      <c r="J215" s="92" t="s">
        <v>1312</v>
      </c>
      <c r="K215" s="116">
        <v>0</v>
      </c>
      <c r="L215" s="105" t="str">
        <f t="shared" ref="L215:L221" si="41">$B$212&amp;"-"&amp;M215</f>
        <v>FI-JR-34-F-TZ</v>
      </c>
      <c r="M215" s="91" t="s">
        <v>1110</v>
      </c>
      <c r="N215" s="92" t="s">
        <v>526</v>
      </c>
      <c r="O215" s="99">
        <v>0</v>
      </c>
      <c r="P215" s="95"/>
      <c r="R215" s="89"/>
      <c r="T215" s="11" t="str">
        <f>IF(OR(AND(OR(ISBLANK(G215),ISBLANK(K215),ISBLANK(O215)),$R$212&gt;0),AND($R$212&lt;=0,OR(OR(G215&lt;&gt;0,K215&lt;&gt;0,O215&lt;&gt;0)))),"R","G")</f>
        <v>G</v>
      </c>
    </row>
    <row r="216" spans="2:20" x14ac:dyDescent="0.25">
      <c r="B216" s="90"/>
      <c r="C216" s="102" t="str">
        <f t="shared" ref="C216:C227" si="42">$B$212&amp;"-"&amp;D216</f>
        <v>FI-JR-34-F-DZ</v>
      </c>
      <c r="D216" s="91" t="s">
        <v>1094</v>
      </c>
      <c r="E216" s="103" t="s">
        <v>319</v>
      </c>
      <c r="F216" s="93"/>
      <c r="G216" s="116">
        <v>0</v>
      </c>
      <c r="H216" s="105" t="str">
        <f t="shared" si="40"/>
        <v>FI-JR-34-F-LB</v>
      </c>
      <c r="I216" s="91" t="s">
        <v>1102</v>
      </c>
      <c r="J216" s="92" t="s">
        <v>434</v>
      </c>
      <c r="K216" s="116">
        <v>0</v>
      </c>
      <c r="L216" s="105" t="str">
        <f t="shared" si="41"/>
        <v>FI-JR-34-F-TT</v>
      </c>
      <c r="M216" s="91" t="s">
        <v>1111</v>
      </c>
      <c r="N216" s="92" t="s">
        <v>532</v>
      </c>
      <c r="O216" s="99">
        <v>0</v>
      </c>
      <c r="P216" s="95"/>
      <c r="R216" s="89"/>
      <c r="T216" s="11" t="str">
        <f t="shared" ref="T216:T221" si="43">IF(OR(AND(OR(ISBLANK(G216),ISBLANK(K216),ISBLANK(O216)),$R$212&gt;0),AND($R$212&lt;=0,OR(OR(G216&lt;&gt;0,K216&lt;&gt;0,O216&lt;&gt;0)))),"R","G")</f>
        <v>G</v>
      </c>
    </row>
    <row r="217" spans="2:20" x14ac:dyDescent="0.25">
      <c r="B217" s="90"/>
      <c r="C217" s="102" t="str">
        <f t="shared" si="42"/>
        <v>FI-JR-34-F-AO</v>
      </c>
      <c r="D217" s="91" t="s">
        <v>1095</v>
      </c>
      <c r="E217" s="103" t="s">
        <v>322</v>
      </c>
      <c r="F217" s="93"/>
      <c r="G217" s="116">
        <v>0</v>
      </c>
      <c r="H217" s="105" t="str">
        <f t="shared" si="40"/>
        <v>FI-JR-34-F-ML</v>
      </c>
      <c r="I217" s="91" t="s">
        <v>1103</v>
      </c>
      <c r="J217" s="92" t="s">
        <v>447</v>
      </c>
      <c r="K217" s="116">
        <v>0</v>
      </c>
      <c r="L217" s="105" t="str">
        <f t="shared" si="41"/>
        <v>FI-JR-34-F-VU</v>
      </c>
      <c r="M217" s="91" t="s">
        <v>1112</v>
      </c>
      <c r="N217" s="92" t="s">
        <v>546</v>
      </c>
      <c r="O217" s="99">
        <v>0</v>
      </c>
      <c r="P217" s="95"/>
      <c r="R217" s="89"/>
      <c r="T217" s="11" t="str">
        <f t="shared" si="43"/>
        <v>G</v>
      </c>
    </row>
    <row r="218" spans="2:20" x14ac:dyDescent="0.25">
      <c r="B218" s="90"/>
      <c r="C218" s="102" t="str">
        <f t="shared" si="42"/>
        <v>FI-JR-34-F-BO</v>
      </c>
      <c r="D218" s="91" t="s">
        <v>1316</v>
      </c>
      <c r="E218" s="103" t="s">
        <v>342</v>
      </c>
      <c r="F218" s="93"/>
      <c r="G218" s="116">
        <v>0</v>
      </c>
      <c r="H218" s="105" t="str">
        <f t="shared" si="40"/>
        <v>FI-JR-34-F-MN</v>
      </c>
      <c r="I218" s="91" t="s">
        <v>1315</v>
      </c>
      <c r="J218" s="92" t="s">
        <v>457</v>
      </c>
      <c r="K218" s="116">
        <v>0</v>
      </c>
      <c r="L218" s="105" t="str">
        <f t="shared" si="41"/>
        <v>FI-JR-34-F-VE</v>
      </c>
      <c r="M218" s="91" t="s">
        <v>1113</v>
      </c>
      <c r="N218" s="92" t="s">
        <v>547</v>
      </c>
      <c r="O218" s="99">
        <v>0</v>
      </c>
      <c r="P218" s="95"/>
      <c r="R218" s="89"/>
      <c r="T218" s="11" t="str">
        <f t="shared" si="43"/>
        <v>G</v>
      </c>
    </row>
    <row r="219" spans="2:20" x14ac:dyDescent="0.25">
      <c r="B219" s="90"/>
      <c r="C219" s="102" t="str">
        <f t="shared" si="42"/>
        <v>FI-JR-34-F-BG</v>
      </c>
      <c r="D219" s="91" t="s">
        <v>1096</v>
      </c>
      <c r="E219" s="103" t="s">
        <v>349</v>
      </c>
      <c r="F219" s="93"/>
      <c r="G219" s="116">
        <v>0</v>
      </c>
      <c r="H219" s="105" t="str">
        <f t="shared" si="40"/>
        <v>FI-JR-34-F-MZ</v>
      </c>
      <c r="I219" s="91" t="s">
        <v>1104</v>
      </c>
      <c r="J219" s="92" t="s">
        <v>461</v>
      </c>
      <c r="K219" s="116">
        <v>0</v>
      </c>
      <c r="L219" s="105" t="str">
        <f t="shared" si="41"/>
        <v>FI-JR-34-F-VN</v>
      </c>
      <c r="M219" s="91" t="s">
        <v>1114</v>
      </c>
      <c r="N219" s="92" t="s">
        <v>1313</v>
      </c>
      <c r="O219" s="99">
        <v>0</v>
      </c>
      <c r="P219" s="95"/>
      <c r="R219" s="89"/>
      <c r="T219" s="11" t="str">
        <f t="shared" si="43"/>
        <v>G</v>
      </c>
    </row>
    <row r="220" spans="2:20" x14ac:dyDescent="0.25">
      <c r="B220" s="90"/>
      <c r="C220" s="102" t="str">
        <f t="shared" si="42"/>
        <v>FI-JR-34-F-BF</v>
      </c>
      <c r="D220" s="91" t="s">
        <v>1097</v>
      </c>
      <c r="E220" s="103" t="s">
        <v>350</v>
      </c>
      <c r="F220" s="93"/>
      <c r="G220" s="116">
        <v>0</v>
      </c>
      <c r="H220" s="105" t="str">
        <f t="shared" si="40"/>
        <v>FI-JR-34-F-MM</v>
      </c>
      <c r="I220" s="91" t="s">
        <v>1105</v>
      </c>
      <c r="J220" s="92" t="s">
        <v>462</v>
      </c>
      <c r="K220" s="116">
        <v>0</v>
      </c>
      <c r="L220" s="105" t="str">
        <f t="shared" si="41"/>
        <v>FI-JR-34-F-VI</v>
      </c>
      <c r="M220" s="91" t="s">
        <v>1319</v>
      </c>
      <c r="N220" s="92" t="s">
        <v>1314</v>
      </c>
      <c r="O220" s="99">
        <v>0</v>
      </c>
      <c r="P220" s="95"/>
      <c r="R220" s="89"/>
      <c r="T220" s="11" t="str">
        <f t="shared" si="43"/>
        <v>G</v>
      </c>
    </row>
    <row r="221" spans="2:20" x14ac:dyDescent="0.25">
      <c r="B221" s="90"/>
      <c r="C221" s="102" t="str">
        <f t="shared" si="42"/>
        <v>FI-JR-34-F-CM</v>
      </c>
      <c r="D221" s="91" t="s">
        <v>1098</v>
      </c>
      <c r="E221" s="103" t="s">
        <v>353</v>
      </c>
      <c r="F221" s="93"/>
      <c r="G221" s="116">
        <v>0</v>
      </c>
      <c r="H221" s="105" t="str">
        <f t="shared" si="40"/>
        <v>FI-JR-34-F-NA</v>
      </c>
      <c r="I221" s="91" t="s">
        <v>1106</v>
      </c>
      <c r="J221" s="92" t="s">
        <v>463</v>
      </c>
      <c r="K221" s="116">
        <v>0</v>
      </c>
      <c r="L221" s="105" t="str">
        <f t="shared" si="41"/>
        <v>FI-JR-34-F-YE</v>
      </c>
      <c r="M221" s="91" t="s">
        <v>1115</v>
      </c>
      <c r="N221" s="92" t="s">
        <v>553</v>
      </c>
      <c r="O221" s="99">
        <v>0</v>
      </c>
      <c r="P221" s="95"/>
      <c r="R221" s="89"/>
      <c r="T221" s="11" t="str">
        <f t="shared" si="43"/>
        <v>G</v>
      </c>
    </row>
    <row r="222" spans="2:20" ht="38.25" x14ac:dyDescent="0.25">
      <c r="B222" s="90"/>
      <c r="C222" s="102" t="str">
        <f>$B$212&amp;"-"&amp;D222</f>
        <v>FI-JR-34-F-CD</v>
      </c>
      <c r="D222" s="91" t="s">
        <v>1099</v>
      </c>
      <c r="E222" s="103" t="s">
        <v>366</v>
      </c>
      <c r="F222" s="93"/>
      <c r="G222" s="116">
        <v>0</v>
      </c>
      <c r="H222" s="105" t="str">
        <f t="shared" si="40"/>
        <v>FI-JR-34-F-NP</v>
      </c>
      <c r="I222" s="91" t="s">
        <v>1318</v>
      </c>
      <c r="J222" s="92" t="s">
        <v>465</v>
      </c>
      <c r="K222" s="116">
        <v>0</v>
      </c>
      <c r="L222" s="95"/>
      <c r="M222" s="95"/>
      <c r="N222" s="95"/>
      <c r="O222" s="95"/>
      <c r="P222" s="95"/>
      <c r="R222" s="89"/>
      <c r="T222" s="11" t="str">
        <f t="shared" ref="T222:T227" si="44">IF(OR(AND(OR(ISBLANK(G222),ISBLANK(K222)),$R$212&gt;0),AND($R$212&lt;=0,OR(OR(G222&lt;&gt;0,K222&lt;&gt;0)))),"R","G")</f>
        <v>G</v>
      </c>
    </row>
    <row r="223" spans="2:20" x14ac:dyDescent="0.25">
      <c r="B223" s="90"/>
      <c r="C223" s="102" t="str">
        <f t="shared" si="42"/>
        <v>FI-JR-34-F-CI</v>
      </c>
      <c r="D223" s="91" t="s">
        <v>1091</v>
      </c>
      <c r="E223" s="103" t="s">
        <v>369</v>
      </c>
      <c r="F223" s="93"/>
      <c r="G223" s="116">
        <v>0</v>
      </c>
      <c r="H223" s="105" t="str">
        <f t="shared" si="40"/>
        <v>FI-JR-34-F-NG</v>
      </c>
      <c r="I223" s="91" t="s">
        <v>1107</v>
      </c>
      <c r="J223" s="92" t="s">
        <v>472</v>
      </c>
      <c r="K223" s="116">
        <v>0</v>
      </c>
      <c r="L223" s="95"/>
      <c r="M223" s="95"/>
      <c r="N223" s="95"/>
      <c r="O223" s="95"/>
      <c r="P223" s="95"/>
      <c r="R223" s="89"/>
      <c r="T223" s="11" t="str">
        <f t="shared" si="44"/>
        <v>G</v>
      </c>
    </row>
    <row r="224" spans="2:20" x14ac:dyDescent="0.25">
      <c r="B224" s="90"/>
      <c r="C224" s="102" t="str">
        <f t="shared" si="42"/>
        <v>FI-JR-34-F-HT</v>
      </c>
      <c r="D224" s="91" t="s">
        <v>1100</v>
      </c>
      <c r="E224" s="103" t="s">
        <v>408</v>
      </c>
      <c r="F224" s="93"/>
      <c r="G224" s="116">
        <v>0</v>
      </c>
      <c r="H224" s="105" t="str">
        <f t="shared" si="40"/>
        <v>FI-JR-34-F-RU</v>
      </c>
      <c r="I224" s="91" t="s">
        <v>1321</v>
      </c>
      <c r="J224" s="92" t="s">
        <v>1320</v>
      </c>
      <c r="K224" s="116">
        <v>0</v>
      </c>
      <c r="L224" s="95"/>
      <c r="M224" s="95"/>
      <c r="N224" s="95"/>
      <c r="O224" s="95"/>
      <c r="P224" s="95"/>
      <c r="R224" s="89"/>
      <c r="T224" s="11" t="str">
        <f t="shared" si="44"/>
        <v>G</v>
      </c>
    </row>
    <row r="225" spans="1:20" ht="25.5" x14ac:dyDescent="0.25">
      <c r="B225" s="90"/>
      <c r="C225" s="102" t="str">
        <f t="shared" si="42"/>
        <v>FI-JR-34-F-IR</v>
      </c>
      <c r="D225" s="91" t="s">
        <v>912</v>
      </c>
      <c r="E225" s="103" t="s">
        <v>417</v>
      </c>
      <c r="F225" s="93"/>
      <c r="G225" s="116">
        <v>0</v>
      </c>
      <c r="H225" s="105" t="str">
        <f t="shared" si="40"/>
        <v>FI-JR-34-F-ZA</v>
      </c>
      <c r="I225" s="91" t="s">
        <v>1108</v>
      </c>
      <c r="J225" s="92" t="s">
        <v>513</v>
      </c>
      <c r="K225" s="116">
        <v>0</v>
      </c>
      <c r="L225" s="95"/>
      <c r="M225" s="95"/>
      <c r="N225" s="95"/>
      <c r="O225" s="95"/>
      <c r="P225" s="95"/>
      <c r="R225" s="89"/>
      <c r="T225" s="11" t="str">
        <f t="shared" si="44"/>
        <v>G</v>
      </c>
    </row>
    <row r="226" spans="1:20" x14ac:dyDescent="0.25">
      <c r="B226" s="90"/>
      <c r="C226" s="102" t="str">
        <f t="shared" si="42"/>
        <v>FI-JR-34-F-KE</v>
      </c>
      <c r="D226" s="91" t="s">
        <v>1101</v>
      </c>
      <c r="E226" s="103" t="s">
        <v>426</v>
      </c>
      <c r="F226" s="93"/>
      <c r="G226" s="116">
        <v>0</v>
      </c>
      <c r="H226" s="105" t="str">
        <f t="shared" si="40"/>
        <v>FI-JR-34-F-SS</v>
      </c>
      <c r="I226" s="91" t="s">
        <v>1089</v>
      </c>
      <c r="J226" s="92" t="s">
        <v>1088</v>
      </c>
      <c r="K226" s="99">
        <v>0</v>
      </c>
      <c r="L226" s="94"/>
      <c r="M226" s="95"/>
      <c r="N226" s="95"/>
      <c r="O226" s="95"/>
      <c r="P226" s="95"/>
      <c r="R226" s="89"/>
      <c r="T226" s="11" t="str">
        <f t="shared" si="44"/>
        <v>G</v>
      </c>
    </row>
    <row r="227" spans="1:20" ht="25.5" x14ac:dyDescent="0.25">
      <c r="B227" s="90"/>
      <c r="C227" s="102" t="str">
        <f t="shared" si="42"/>
        <v>FI-JR-34-F-KP</v>
      </c>
      <c r="D227" s="91" t="s">
        <v>1090</v>
      </c>
      <c r="E227" s="103" t="s">
        <v>428</v>
      </c>
      <c r="F227" s="96"/>
      <c r="G227" s="116">
        <v>0</v>
      </c>
      <c r="H227" s="105" t="str">
        <f t="shared" si="40"/>
        <v>FI-JR-34-F-SY</v>
      </c>
      <c r="I227" s="91" t="s">
        <v>1109</v>
      </c>
      <c r="J227" s="92" t="s">
        <v>523</v>
      </c>
      <c r="K227" s="99">
        <v>0</v>
      </c>
      <c r="L227" s="94"/>
      <c r="M227" s="95"/>
      <c r="N227" s="95"/>
      <c r="O227" s="95"/>
      <c r="P227" s="95"/>
      <c r="R227" s="89"/>
      <c r="T227" s="11" t="str">
        <f t="shared" si="44"/>
        <v>G</v>
      </c>
    </row>
    <row r="228" spans="1:20" x14ac:dyDescent="0.25">
      <c r="B228" s="84"/>
      <c r="C228" s="84"/>
      <c r="F228" s="54"/>
      <c r="G228" s="193"/>
      <c r="H228" s="193"/>
      <c r="I228" s="193"/>
      <c r="J228" s="193"/>
      <c r="K228" s="193"/>
      <c r="L228" s="193"/>
      <c r="M228" s="193"/>
      <c r="N228" s="193"/>
      <c r="O228" s="193"/>
      <c r="P228" s="54"/>
      <c r="R228" s="89"/>
    </row>
    <row r="229" spans="1:20" ht="7.35" customHeight="1" x14ac:dyDescent="0.25">
      <c r="B229" s="71"/>
      <c r="C229" s="71"/>
      <c r="D229" s="15"/>
      <c r="E229" s="15"/>
      <c r="F229" s="15"/>
      <c r="G229" s="15"/>
      <c r="H229" s="15"/>
      <c r="I229" s="15"/>
      <c r="J229" s="15"/>
      <c r="K229" s="15"/>
      <c r="L229" s="15"/>
      <c r="M229" s="72"/>
      <c r="N229" s="72"/>
      <c r="O229" s="72"/>
      <c r="P229" s="72"/>
      <c r="Q229" s="73"/>
      <c r="R229" s="74"/>
    </row>
    <row r="230" spans="1:20" ht="7.15" customHeight="1" x14ac:dyDescent="0.25">
      <c r="A230" s="75"/>
      <c r="B230" s="76"/>
      <c r="C230" s="76"/>
      <c r="D230" s="77"/>
      <c r="E230" s="77"/>
      <c r="F230" s="77"/>
      <c r="G230" s="77"/>
      <c r="H230" s="77"/>
      <c r="I230" s="77"/>
      <c r="J230" s="77"/>
      <c r="K230" s="77"/>
      <c r="L230" s="77"/>
      <c r="M230" s="77"/>
      <c r="N230" s="77"/>
      <c r="O230" s="77"/>
      <c r="P230" s="77"/>
      <c r="Q230" s="75"/>
      <c r="R230" s="78"/>
      <c r="S230" s="75"/>
      <c r="T230" s="12"/>
    </row>
    <row r="231" spans="1:20" ht="7.35" customHeight="1" x14ac:dyDescent="0.25">
      <c r="B231" s="71"/>
      <c r="C231" s="71"/>
      <c r="D231" s="15"/>
      <c r="E231" s="15"/>
      <c r="F231" s="15"/>
      <c r="G231" s="15"/>
      <c r="H231" s="15"/>
      <c r="I231" s="15"/>
      <c r="J231" s="15"/>
      <c r="K231" s="15"/>
      <c r="L231" s="15"/>
      <c r="M231" s="15"/>
      <c r="N231" s="15"/>
      <c r="O231" s="15"/>
      <c r="P231" s="15"/>
      <c r="R231" s="74"/>
    </row>
    <row r="232" spans="1:20" ht="19.5" thickBot="1" x14ac:dyDescent="0.3">
      <c r="B232" s="38" t="s">
        <v>100</v>
      </c>
      <c r="C232" s="38"/>
      <c r="D232" s="39" t="s">
        <v>1160</v>
      </c>
      <c r="E232" s="40"/>
      <c r="F232" s="40"/>
      <c r="G232" s="40"/>
      <c r="H232" s="40"/>
      <c r="I232" s="40"/>
      <c r="J232" s="40"/>
      <c r="K232" s="40"/>
      <c r="L232" s="40"/>
      <c r="M232" s="40"/>
      <c r="N232" s="40"/>
      <c r="O232" s="40"/>
      <c r="P232" s="40"/>
      <c r="Q232" s="37"/>
      <c r="R232" s="42"/>
      <c r="S232" s="37"/>
    </row>
    <row r="233" spans="1:20" ht="21.6" customHeight="1" x14ac:dyDescent="0.25"/>
    <row r="234" spans="1:20" ht="30" customHeight="1" x14ac:dyDescent="0.25">
      <c r="B234" s="15" t="s">
        <v>749</v>
      </c>
      <c r="D234" s="186" t="s">
        <v>1147</v>
      </c>
      <c r="E234" s="186"/>
      <c r="F234" s="186"/>
      <c r="G234" s="186"/>
      <c r="H234" s="186"/>
      <c r="I234" s="186"/>
      <c r="J234" s="186"/>
      <c r="K234" s="186"/>
      <c r="L234" s="186"/>
      <c r="M234" s="186"/>
      <c r="N234" s="186"/>
      <c r="O234" s="186"/>
      <c r="P234" s="52"/>
      <c r="R234" s="10"/>
    </row>
    <row r="235" spans="1:20" ht="52.5" customHeight="1" x14ac:dyDescent="0.25">
      <c r="D235" s="190" t="s">
        <v>1349</v>
      </c>
      <c r="E235" s="190"/>
      <c r="F235" s="190"/>
      <c r="G235" s="190"/>
      <c r="H235" s="190"/>
      <c r="I235" s="190"/>
      <c r="J235" s="190"/>
      <c r="K235" s="190"/>
      <c r="L235" s="190"/>
      <c r="M235" s="190"/>
      <c r="N235" s="190"/>
      <c r="O235" s="190"/>
      <c r="P235" s="190"/>
      <c r="R235" s="101"/>
    </row>
    <row r="236" spans="1:20" ht="15" customHeight="1" x14ac:dyDescent="0.25">
      <c r="B236" s="46" t="str">
        <f>B234&amp;"-M"</f>
        <v>FI-JR-36-M</v>
      </c>
      <c r="C236" s="46"/>
      <c r="D236" s="84"/>
      <c r="E236" s="189" t="s">
        <v>448</v>
      </c>
      <c r="F236" s="189"/>
      <c r="G236" s="189"/>
      <c r="H236" s="189"/>
      <c r="I236" s="189"/>
      <c r="J236" s="189"/>
      <c r="K236" s="189"/>
      <c r="L236" s="189"/>
      <c r="M236" s="189"/>
      <c r="N236" s="189"/>
      <c r="O236" s="189"/>
      <c r="P236" s="52"/>
      <c r="R236" s="16"/>
      <c r="T236" s="11" t="str">
        <f>IF(OR(AND(ISBLANK(R236),OR(PR.82.1="Yes",PR.82.2="Yes",PR.82.3="Yes",PR.82.4="Yes",PR.82.5="Yes",PR.82.6="Yes")),AND(AND(PR.82.1&lt;&gt;"Yes",PR.82.2&lt;&gt;"Yes",PR.82.3&lt;&gt;"Yes",PR.82.4&lt;&gt;"Yes",PR.82.5&lt;&gt;"Yes",PR.82.6&lt;&gt;"Yes"),NOT(ISBLANK(R236)))),"R","G")</f>
        <v>G</v>
      </c>
    </row>
    <row r="237" spans="1:20" ht="15" customHeight="1" x14ac:dyDescent="0.25">
      <c r="B237" s="46" t="str">
        <f>B234&amp;"-E"</f>
        <v>FI-JR-36-E</v>
      </c>
      <c r="C237" s="46"/>
      <c r="D237" s="84"/>
      <c r="E237" s="189" t="s">
        <v>1084</v>
      </c>
      <c r="F237" s="189"/>
      <c r="G237" s="189"/>
      <c r="H237" s="189"/>
      <c r="I237" s="189"/>
      <c r="J237" s="189"/>
      <c r="K237" s="189"/>
      <c r="L237" s="189"/>
      <c r="M237" s="189"/>
      <c r="N237" s="189"/>
      <c r="O237" s="189"/>
      <c r="P237" s="52"/>
      <c r="R237" s="16"/>
      <c r="T237" s="11" t="str">
        <f>IF(OR(AND(ISBLANK(R237),OR(PR.82.1="Yes",PR.82.2="Yes",PR.82.3="Yes",PR.82.4="Yes",PR.82.5="Yes",PR.82.6="Yes")),AND(AND(PR.82.1&lt;&gt;"Yes",PR.82.2&lt;&gt;"Yes",PR.82.3&lt;&gt;"Yes",PR.82.4&lt;&gt;"Yes",PR.82.5&lt;&gt;"Yes",PR.82.6&lt;&gt;"Yes"),NOT(ISBLANK(R237)))),"R","G")</f>
        <v>G</v>
      </c>
    </row>
    <row r="238" spans="1:20" ht="15" customHeight="1" x14ac:dyDescent="0.25">
      <c r="B238" s="46" t="str">
        <f>B234&amp;"-N"</f>
        <v>FI-JR-36-N</v>
      </c>
      <c r="C238" s="46"/>
      <c r="D238" s="84"/>
      <c r="E238" s="189" t="s">
        <v>1085</v>
      </c>
      <c r="F238" s="189"/>
      <c r="G238" s="189"/>
      <c r="H238" s="189"/>
      <c r="I238" s="189"/>
      <c r="J238" s="189"/>
      <c r="K238" s="189"/>
      <c r="L238" s="189"/>
      <c r="M238" s="189"/>
      <c r="N238" s="189"/>
      <c r="O238" s="189"/>
      <c r="P238" s="52"/>
      <c r="R238" s="16"/>
      <c r="T238" s="11" t="str">
        <f>IF(OR(AND(ISBLANK(R238),OR(PR.82.1="Yes",PR.82.2="Yes",PR.82.3="Yes",PR.82.4="Yes",PR.82.5="Yes",PR.82.6="Yes")),AND(AND(PR.82.1&lt;&gt;"Yes",PR.82.2&lt;&gt;"Yes",PR.82.3&lt;&gt;"Yes",PR.82.4&lt;&gt;"Yes",PR.82.5&lt;&gt;"Yes",PR.82.6&lt;&gt;"Yes"),NOT(ISBLANK(R238)))),"R","G")</f>
        <v>G</v>
      </c>
    </row>
    <row r="239" spans="1:20" ht="27" customHeight="1" x14ac:dyDescent="0.25">
      <c r="B239" s="46" t="str">
        <f>B234&amp;"-F"</f>
        <v>FI-JR-36-F</v>
      </c>
      <c r="C239" s="46"/>
      <c r="D239" s="84"/>
      <c r="E239" s="191" t="s">
        <v>1086</v>
      </c>
      <c r="F239" s="191"/>
      <c r="G239" s="191"/>
      <c r="H239" s="191"/>
      <c r="I239" s="191"/>
      <c r="J239" s="191"/>
      <c r="K239" s="191"/>
      <c r="L239" s="191"/>
      <c r="M239" s="191"/>
      <c r="N239" s="191"/>
      <c r="O239" s="191"/>
      <c r="P239" s="86"/>
      <c r="R239" s="16"/>
      <c r="T239" s="11" t="str">
        <f>IF(OR(AND(ISBLANK(R239),OR(PR.82.1="Yes",PR.82.2="Yes",PR.82.3="Yes",PR.82.4="Yes",PR.82.5="Yes",PR.82.6="Yes")),AND(AND(PR.82.1&lt;&gt;"Yes",PR.82.2&lt;&gt;"Yes",PR.82.3&lt;&gt;"Yes",PR.82.4&lt;&gt;"Yes",PR.82.5&lt;&gt;"Yes",PR.82.6&lt;&gt;"Yes"),NOT(ISBLANK(R239)))),"R","G")</f>
        <v>G</v>
      </c>
    </row>
    <row r="240" spans="1:20" ht="9.75" customHeight="1" x14ac:dyDescent="0.25">
      <c r="B240" s="10"/>
      <c r="C240" s="10"/>
      <c r="D240" s="10"/>
      <c r="E240" s="10"/>
      <c r="F240" s="10"/>
      <c r="G240" s="10"/>
      <c r="H240" s="10"/>
      <c r="I240" s="10"/>
      <c r="J240" s="10"/>
      <c r="K240" s="10"/>
      <c r="L240" s="10"/>
      <c r="M240" s="10"/>
      <c r="N240" s="10"/>
      <c r="O240" s="10"/>
      <c r="P240" s="10"/>
      <c r="R240" s="10"/>
    </row>
    <row r="241" spans="1:21" ht="15" customHeight="1" x14ac:dyDescent="0.25">
      <c r="B241" s="87"/>
      <c r="C241" s="87"/>
      <c r="D241" s="192" t="str">
        <f>IF(R239&lt;&gt;"Yes","",IF(OR(COUNTIFS(G242:G254,"yes")&gt;0,COUNTIFS(K242:K254,"Yes")&gt;0,COUNTIFS(O242:O248,"yes")&gt;0),"","Include at least one 'Yes' next to the below applicable jurisdictions."))</f>
        <v/>
      </c>
      <c r="E241" s="192"/>
      <c r="F241" s="192"/>
      <c r="G241" s="192"/>
      <c r="H241" s="192"/>
      <c r="I241" s="192"/>
      <c r="J241" s="192"/>
      <c r="K241" s="192"/>
      <c r="L241" s="192"/>
      <c r="M241" s="192"/>
      <c r="N241" s="192"/>
      <c r="O241" s="192"/>
      <c r="P241" s="88"/>
      <c r="R241" s="89"/>
      <c r="T241" s="11" t="str">
        <f>IF(D241="","G","R")</f>
        <v>G</v>
      </c>
    </row>
    <row r="242" spans="1:21" ht="25.5" x14ac:dyDescent="0.25">
      <c r="A242" s="48"/>
      <c r="B242" s="90"/>
      <c r="C242" s="102" t="str">
        <f>$B$239&amp;"-"&amp;D242</f>
        <v>FI-JR-36-F-AF</v>
      </c>
      <c r="D242" s="91" t="s">
        <v>1093</v>
      </c>
      <c r="E242" s="103" t="s">
        <v>317</v>
      </c>
      <c r="F242" s="93"/>
      <c r="G242" s="16"/>
      <c r="H242" s="105" t="str">
        <f>$B$239&amp;"-"&amp;I242</f>
        <v>FI-JR-36-F-LA</v>
      </c>
      <c r="I242" s="91" t="s">
        <v>1317</v>
      </c>
      <c r="J242" s="92" t="s">
        <v>1312</v>
      </c>
      <c r="K242" s="16"/>
      <c r="L242" s="105" t="str">
        <f>$B$239&amp;"-"&amp;M242</f>
        <v>FI-JR-36-F-TZ</v>
      </c>
      <c r="M242" s="91" t="s">
        <v>1110</v>
      </c>
      <c r="N242" s="92" t="s">
        <v>526</v>
      </c>
      <c r="O242" s="16"/>
      <c r="P242" s="95"/>
      <c r="R242" s="89"/>
      <c r="T242" s="11" t="str" cm="1">
        <f t="array" ref="T242">IF(OR(AND(ISBLANK($G$242:$G$254),ISBLANK($K$242:$K$254),ISBLANK($O$242:$O$252),$R$239="Yes"),AND($R$239&lt;&gt;"Yes",OR(NOT(ISBLANK($G$242:$G$254)),NOT(ISBLANK($K$242:$K$254)),NOT(ISBLANK($O$242:$O$252))))),"R","G")</f>
        <v>G</v>
      </c>
    </row>
    <row r="243" spans="1:21" x14ac:dyDescent="0.25">
      <c r="A243" s="48"/>
      <c r="B243" s="90"/>
      <c r="C243" s="102" t="str">
        <f t="shared" ref="C243:C254" si="45">$B$239&amp;"-"&amp;D243</f>
        <v>FI-JR-36-F-DZ</v>
      </c>
      <c r="D243" s="91" t="s">
        <v>1094</v>
      </c>
      <c r="E243" s="103" t="s">
        <v>319</v>
      </c>
      <c r="F243" s="93"/>
      <c r="G243" s="16"/>
      <c r="H243" s="105" t="str">
        <f t="shared" ref="H243:H254" si="46">$B$239&amp;"-"&amp;I243</f>
        <v>FI-JR-36-F-LB</v>
      </c>
      <c r="I243" s="91" t="s">
        <v>1102</v>
      </c>
      <c r="J243" s="92" t="s">
        <v>434</v>
      </c>
      <c r="K243" s="16"/>
      <c r="L243" s="105" t="str">
        <f t="shared" ref="L243:L248" si="47">$B$239&amp;"-"&amp;M243</f>
        <v>FI-JR-36-F-TT</v>
      </c>
      <c r="M243" s="91" t="s">
        <v>1111</v>
      </c>
      <c r="N243" s="92" t="s">
        <v>532</v>
      </c>
      <c r="O243" s="16"/>
      <c r="P243" s="95"/>
      <c r="R243" s="89"/>
    </row>
    <row r="244" spans="1:21" x14ac:dyDescent="0.25">
      <c r="A244" s="48"/>
      <c r="B244" s="90"/>
      <c r="C244" s="102" t="str">
        <f t="shared" si="45"/>
        <v>FI-JR-36-F-AO</v>
      </c>
      <c r="D244" s="91" t="s">
        <v>1095</v>
      </c>
      <c r="E244" s="103" t="s">
        <v>322</v>
      </c>
      <c r="F244" s="93"/>
      <c r="G244" s="16"/>
      <c r="H244" s="105" t="str">
        <f t="shared" si="46"/>
        <v>FI-JR-36-F-ML</v>
      </c>
      <c r="I244" s="91" t="s">
        <v>1103</v>
      </c>
      <c r="J244" s="92" t="s">
        <v>447</v>
      </c>
      <c r="K244" s="16"/>
      <c r="L244" s="105" t="str">
        <f t="shared" si="47"/>
        <v>FI-JR-36-F-VU</v>
      </c>
      <c r="M244" s="91" t="s">
        <v>1112</v>
      </c>
      <c r="N244" s="92" t="s">
        <v>546</v>
      </c>
      <c r="O244" s="16"/>
      <c r="P244" s="95"/>
      <c r="R244" s="89"/>
    </row>
    <row r="245" spans="1:21" x14ac:dyDescent="0.25">
      <c r="A245" s="48"/>
      <c r="B245" s="90"/>
      <c r="C245" s="102" t="str">
        <f t="shared" si="45"/>
        <v>FI-JR-36-F-BO</v>
      </c>
      <c r="D245" s="91" t="s">
        <v>1316</v>
      </c>
      <c r="E245" s="103" t="s">
        <v>342</v>
      </c>
      <c r="F245" s="93"/>
      <c r="G245" s="16"/>
      <c r="H245" s="105" t="str">
        <f t="shared" si="46"/>
        <v>FI-JR-36-F-MN</v>
      </c>
      <c r="I245" s="91" t="s">
        <v>1315</v>
      </c>
      <c r="J245" s="92" t="s">
        <v>457</v>
      </c>
      <c r="K245" s="16"/>
      <c r="L245" s="105" t="str">
        <f t="shared" si="47"/>
        <v>FI-JR-36-F-VE</v>
      </c>
      <c r="M245" s="91" t="s">
        <v>1113</v>
      </c>
      <c r="N245" s="92" t="s">
        <v>547</v>
      </c>
      <c r="O245" s="16"/>
      <c r="P245" s="95"/>
      <c r="R245" s="89"/>
    </row>
    <row r="246" spans="1:21" x14ac:dyDescent="0.25">
      <c r="A246" s="48"/>
      <c r="B246" s="90"/>
      <c r="C246" s="102" t="str">
        <f t="shared" si="45"/>
        <v>FI-JR-36-F-BG</v>
      </c>
      <c r="D246" s="91" t="s">
        <v>1096</v>
      </c>
      <c r="E246" s="103" t="s">
        <v>349</v>
      </c>
      <c r="F246" s="93"/>
      <c r="G246" s="16"/>
      <c r="H246" s="105" t="str">
        <f t="shared" si="46"/>
        <v>FI-JR-36-F-MZ</v>
      </c>
      <c r="I246" s="91" t="s">
        <v>1104</v>
      </c>
      <c r="J246" s="92" t="s">
        <v>461</v>
      </c>
      <c r="K246" s="16"/>
      <c r="L246" s="105" t="str">
        <f t="shared" si="47"/>
        <v>FI-JR-36-F-VN</v>
      </c>
      <c r="M246" s="91" t="s">
        <v>1114</v>
      </c>
      <c r="N246" s="92" t="s">
        <v>1313</v>
      </c>
      <c r="O246" s="16"/>
      <c r="P246" s="95"/>
      <c r="R246" s="89"/>
    </row>
    <row r="247" spans="1:21" x14ac:dyDescent="0.25">
      <c r="A247" s="48"/>
      <c r="B247" s="90"/>
      <c r="C247" s="102" t="str">
        <f t="shared" si="45"/>
        <v>FI-JR-36-F-BF</v>
      </c>
      <c r="D247" s="91" t="s">
        <v>1097</v>
      </c>
      <c r="E247" s="103" t="s">
        <v>350</v>
      </c>
      <c r="F247" s="93"/>
      <c r="G247" s="16"/>
      <c r="H247" s="105" t="str">
        <f t="shared" si="46"/>
        <v>FI-JR-36-F-MM</v>
      </c>
      <c r="I247" s="91" t="s">
        <v>1105</v>
      </c>
      <c r="J247" s="92" t="s">
        <v>462</v>
      </c>
      <c r="K247" s="16"/>
      <c r="L247" s="105" t="str">
        <f t="shared" si="47"/>
        <v>FI-JR-36-F-VI</v>
      </c>
      <c r="M247" s="91" t="s">
        <v>1319</v>
      </c>
      <c r="N247" s="92" t="s">
        <v>1314</v>
      </c>
      <c r="O247" s="16"/>
      <c r="P247" s="95"/>
      <c r="R247" s="89"/>
    </row>
    <row r="248" spans="1:21" x14ac:dyDescent="0.25">
      <c r="A248" s="48"/>
      <c r="B248" s="90"/>
      <c r="C248" s="102" t="str">
        <f t="shared" si="45"/>
        <v>FI-JR-36-F-CM</v>
      </c>
      <c r="D248" s="91" t="s">
        <v>1098</v>
      </c>
      <c r="E248" s="103" t="s">
        <v>353</v>
      </c>
      <c r="F248" s="93"/>
      <c r="G248" s="16"/>
      <c r="H248" s="105" t="str">
        <f t="shared" si="46"/>
        <v>FI-JR-36-F-NA</v>
      </c>
      <c r="I248" s="91" t="s">
        <v>1106</v>
      </c>
      <c r="J248" s="92" t="s">
        <v>463</v>
      </c>
      <c r="K248" s="16"/>
      <c r="L248" s="105" t="str">
        <f t="shared" si="47"/>
        <v>FI-JR-36-F-YE</v>
      </c>
      <c r="M248" s="91" t="s">
        <v>1115</v>
      </c>
      <c r="N248" s="92" t="s">
        <v>553</v>
      </c>
      <c r="O248" s="16"/>
      <c r="P248" s="95"/>
      <c r="R248" s="89"/>
    </row>
    <row r="249" spans="1:21" ht="38.25" x14ac:dyDescent="0.25">
      <c r="A249" s="48"/>
      <c r="B249" s="90"/>
      <c r="C249" s="102" t="str">
        <f t="shared" si="45"/>
        <v>FI-JR-36-F-CD</v>
      </c>
      <c r="D249" s="91" t="s">
        <v>1099</v>
      </c>
      <c r="E249" s="103" t="s">
        <v>366</v>
      </c>
      <c r="F249" s="93"/>
      <c r="G249" s="16"/>
      <c r="H249" s="105" t="str">
        <f t="shared" si="46"/>
        <v>FI-JR-36-F-NP</v>
      </c>
      <c r="I249" s="91" t="s">
        <v>1318</v>
      </c>
      <c r="J249" s="92" t="s">
        <v>465</v>
      </c>
      <c r="K249" s="16"/>
      <c r="L249" s="95"/>
      <c r="M249" s="95"/>
      <c r="N249" s="95"/>
      <c r="O249" s="95"/>
      <c r="P249" s="95"/>
      <c r="R249" s="89"/>
    </row>
    <row r="250" spans="1:21" x14ac:dyDescent="0.25">
      <c r="A250" s="48"/>
      <c r="B250" s="90"/>
      <c r="C250" s="102" t="str">
        <f t="shared" si="45"/>
        <v>FI-JR-36-F-CI</v>
      </c>
      <c r="D250" s="91" t="s">
        <v>1091</v>
      </c>
      <c r="E250" s="103" t="s">
        <v>369</v>
      </c>
      <c r="F250" s="93"/>
      <c r="G250" s="16"/>
      <c r="H250" s="105" t="str">
        <f t="shared" si="46"/>
        <v>FI-JR-36-F-NG</v>
      </c>
      <c r="I250" s="91" t="s">
        <v>1107</v>
      </c>
      <c r="J250" s="92" t="s">
        <v>472</v>
      </c>
      <c r="K250" s="16"/>
      <c r="L250" s="95"/>
      <c r="M250" s="95"/>
      <c r="N250" s="95"/>
      <c r="O250" s="95"/>
      <c r="P250" s="95"/>
      <c r="R250" s="89"/>
    </row>
    <row r="251" spans="1:21" x14ac:dyDescent="0.25">
      <c r="A251" s="48"/>
      <c r="B251" s="90"/>
      <c r="C251" s="102" t="str">
        <f t="shared" si="45"/>
        <v>FI-JR-36-F-HT</v>
      </c>
      <c r="D251" s="91" t="s">
        <v>1100</v>
      </c>
      <c r="E251" s="103" t="s">
        <v>408</v>
      </c>
      <c r="F251" s="93"/>
      <c r="G251" s="16"/>
      <c r="H251" s="105" t="str">
        <f t="shared" si="46"/>
        <v>FI-JR-36-F-RU</v>
      </c>
      <c r="I251" s="91" t="s">
        <v>1321</v>
      </c>
      <c r="J251" s="92" t="s">
        <v>1320</v>
      </c>
      <c r="K251" s="16"/>
      <c r="L251" s="95"/>
      <c r="M251" s="95"/>
      <c r="N251" s="95"/>
      <c r="O251" s="95"/>
      <c r="P251" s="95"/>
      <c r="R251" s="89"/>
    </row>
    <row r="252" spans="1:21" ht="25.5" x14ac:dyDescent="0.25">
      <c r="A252" s="48"/>
      <c r="B252" s="90"/>
      <c r="C252" s="102" t="str">
        <f t="shared" si="45"/>
        <v>FI-JR-36-F-IR</v>
      </c>
      <c r="D252" s="91" t="s">
        <v>912</v>
      </c>
      <c r="E252" s="103" t="s">
        <v>417</v>
      </c>
      <c r="F252" s="93"/>
      <c r="G252" s="16"/>
      <c r="H252" s="105" t="str">
        <f t="shared" si="46"/>
        <v>FI-JR-36-F-ZA</v>
      </c>
      <c r="I252" s="91" t="s">
        <v>1108</v>
      </c>
      <c r="J252" s="92" t="s">
        <v>513</v>
      </c>
      <c r="K252" s="16"/>
      <c r="L252" s="95"/>
      <c r="M252" s="95"/>
      <c r="N252" s="95"/>
      <c r="O252" s="95"/>
      <c r="P252" s="95"/>
      <c r="R252" s="89"/>
    </row>
    <row r="253" spans="1:21" x14ac:dyDescent="0.25">
      <c r="A253" s="48"/>
      <c r="B253" s="90"/>
      <c r="C253" s="102" t="str">
        <f t="shared" si="45"/>
        <v>FI-JR-36-F-KE</v>
      </c>
      <c r="D253" s="91" t="s">
        <v>1101</v>
      </c>
      <c r="E253" s="103" t="s">
        <v>426</v>
      </c>
      <c r="F253" s="93"/>
      <c r="G253" s="16"/>
      <c r="H253" s="105" t="str">
        <f t="shared" si="46"/>
        <v>FI-JR-36-F-SS</v>
      </c>
      <c r="I253" s="91" t="s">
        <v>1089</v>
      </c>
      <c r="J253" s="92" t="s">
        <v>1088</v>
      </c>
      <c r="K253" s="16"/>
      <c r="L253" s="94"/>
      <c r="M253" s="95"/>
      <c r="N253" s="95"/>
      <c r="O253" s="95"/>
      <c r="P253" s="95"/>
      <c r="R253" s="89"/>
    </row>
    <row r="254" spans="1:21" ht="25.5" x14ac:dyDescent="0.25">
      <c r="A254" s="48"/>
      <c r="B254" s="90"/>
      <c r="C254" s="102" t="str">
        <f t="shared" si="45"/>
        <v>FI-JR-36-F-KP</v>
      </c>
      <c r="D254" s="91" t="s">
        <v>1090</v>
      </c>
      <c r="E254" s="103" t="s">
        <v>428</v>
      </c>
      <c r="F254" s="96"/>
      <c r="G254" s="16"/>
      <c r="H254" s="105" t="str">
        <f t="shared" si="46"/>
        <v>FI-JR-36-F-SY</v>
      </c>
      <c r="I254" s="91" t="s">
        <v>1109</v>
      </c>
      <c r="J254" s="92" t="s">
        <v>523</v>
      </c>
      <c r="K254" s="16"/>
      <c r="L254" s="94"/>
      <c r="M254" s="95"/>
      <c r="N254" s="95"/>
      <c r="O254" s="95"/>
      <c r="P254" s="95"/>
      <c r="R254" s="89"/>
    </row>
    <row r="255" spans="1:21" s="48" customFormat="1" x14ac:dyDescent="0.25">
      <c r="T255" s="10"/>
      <c r="U255" s="22"/>
    </row>
    <row r="256" spans="1:21" ht="37.5" customHeight="1" x14ac:dyDescent="0.25">
      <c r="B256" s="15" t="s">
        <v>750</v>
      </c>
      <c r="D256" s="186" t="s">
        <v>1149</v>
      </c>
      <c r="E256" s="186"/>
      <c r="F256" s="186"/>
      <c r="G256" s="186"/>
      <c r="H256" s="186"/>
      <c r="I256" s="186"/>
      <c r="J256" s="186"/>
      <c r="K256" s="186"/>
      <c r="L256" s="186"/>
      <c r="M256" s="186"/>
      <c r="N256" s="186"/>
      <c r="O256" s="186"/>
      <c r="P256" s="52"/>
      <c r="R256" s="10"/>
    </row>
    <row r="257" spans="2:20" ht="52.5" customHeight="1" x14ac:dyDescent="0.25">
      <c r="D257" s="190" t="s">
        <v>1349</v>
      </c>
      <c r="E257" s="190"/>
      <c r="F257" s="190"/>
      <c r="G257" s="190"/>
      <c r="H257" s="190"/>
      <c r="I257" s="190"/>
      <c r="J257" s="190"/>
      <c r="K257" s="190"/>
      <c r="L257" s="190"/>
      <c r="M257" s="190"/>
      <c r="N257" s="190"/>
      <c r="O257" s="190"/>
      <c r="P257" s="190"/>
      <c r="R257" s="101"/>
    </row>
    <row r="258" spans="2:20" ht="15" customHeight="1" x14ac:dyDescent="0.25">
      <c r="B258" s="46" t="str">
        <f>B256&amp;"-M"</f>
        <v>FI-JR-47-M</v>
      </c>
      <c r="C258" s="46"/>
      <c r="D258" s="84"/>
      <c r="E258" s="189" t="s">
        <v>448</v>
      </c>
      <c r="F258" s="189"/>
      <c r="G258" s="189"/>
      <c r="H258" s="189"/>
      <c r="I258" s="189"/>
      <c r="J258" s="189"/>
      <c r="K258" s="189"/>
      <c r="L258" s="189"/>
      <c r="M258" s="189"/>
      <c r="N258" s="189"/>
      <c r="O258" s="189"/>
      <c r="P258" s="52"/>
      <c r="R258" s="67"/>
      <c r="T258" s="11" t="str">
        <f>IF(OR(AND(ISBLANK(R258),CR.62&gt;0),AND(CR.62&lt;=0,NOT(ISBLANK(R258)))),"R","G")</f>
        <v>G</v>
      </c>
    </row>
    <row r="259" spans="2:20" ht="15" customHeight="1" x14ac:dyDescent="0.25">
      <c r="B259" s="46" t="str">
        <f>B256&amp;"-E"</f>
        <v>FI-JR-47-E</v>
      </c>
      <c r="C259" s="46"/>
      <c r="D259" s="84"/>
      <c r="E259" s="189" t="s">
        <v>1084</v>
      </c>
      <c r="F259" s="189"/>
      <c r="G259" s="189"/>
      <c r="H259" s="189"/>
      <c r="I259" s="189"/>
      <c r="J259" s="189"/>
      <c r="K259" s="189"/>
      <c r="L259" s="189"/>
      <c r="M259" s="189"/>
      <c r="N259" s="189"/>
      <c r="O259" s="189"/>
      <c r="P259" s="52"/>
      <c r="R259" s="67"/>
      <c r="T259" s="11" t="str">
        <f>IF(OR(AND(ISBLANK(R259),CR.62&gt;0),AND(CR.62&lt;=0,NOT(ISBLANK(R259)))),"R","G")</f>
        <v>G</v>
      </c>
    </row>
    <row r="260" spans="2:20" ht="15" customHeight="1" x14ac:dyDescent="0.25">
      <c r="B260" s="46" t="str">
        <f>B256&amp;"-N"</f>
        <v>FI-JR-47-N</v>
      </c>
      <c r="C260" s="46"/>
      <c r="D260" s="84"/>
      <c r="E260" s="189" t="s">
        <v>1085</v>
      </c>
      <c r="F260" s="189"/>
      <c r="G260" s="189"/>
      <c r="H260" s="189"/>
      <c r="I260" s="189"/>
      <c r="J260" s="189"/>
      <c r="K260" s="189"/>
      <c r="L260" s="189"/>
      <c r="M260" s="189"/>
      <c r="N260" s="189"/>
      <c r="O260" s="189"/>
      <c r="P260" s="52"/>
      <c r="R260" s="67"/>
      <c r="T260" s="11" t="str">
        <f>IF(OR(AND(ISBLANK(R260),CR.62&gt;0),AND(CR.62&lt;=0,NOT(ISBLANK(R260)))),"R","G")</f>
        <v>G</v>
      </c>
    </row>
    <row r="261" spans="2:20" ht="27" customHeight="1" x14ac:dyDescent="0.25">
      <c r="B261" s="46" t="str">
        <f>B256&amp;"-F"</f>
        <v>FI-JR-47-F</v>
      </c>
      <c r="C261" s="46"/>
      <c r="D261" s="84"/>
      <c r="E261" s="191" t="s">
        <v>1086</v>
      </c>
      <c r="F261" s="191"/>
      <c r="G261" s="191"/>
      <c r="H261" s="191"/>
      <c r="I261" s="191"/>
      <c r="J261" s="191"/>
      <c r="K261" s="191"/>
      <c r="L261" s="191"/>
      <c r="M261" s="191"/>
      <c r="N261" s="191"/>
      <c r="O261" s="191"/>
      <c r="P261" s="86"/>
      <c r="R261" s="67"/>
      <c r="T261" s="11" t="str">
        <f>IF(OR(AND(ISBLANK(R261),CR.62&gt;0),AND(CR.62&lt;=0,NOT(ISBLANK(R261)))),"R","G")</f>
        <v>G</v>
      </c>
    </row>
    <row r="262" spans="2:20" ht="9.75" customHeight="1" x14ac:dyDescent="0.25">
      <c r="B262" s="10"/>
      <c r="C262" s="10"/>
      <c r="D262" s="10"/>
      <c r="E262" s="10"/>
      <c r="F262" s="10"/>
      <c r="G262" s="10"/>
      <c r="H262" s="10"/>
      <c r="I262" s="10"/>
      <c r="J262" s="10"/>
      <c r="K262" s="10"/>
      <c r="L262" s="10"/>
      <c r="M262" s="10"/>
      <c r="N262" s="10"/>
      <c r="O262" s="10"/>
      <c r="P262" s="10"/>
      <c r="R262" s="10"/>
    </row>
    <row r="263" spans="2:20" ht="15" customHeight="1" x14ac:dyDescent="0.25">
      <c r="B263" s="87"/>
      <c r="C263" s="87"/>
      <c r="D263" s="192" t="str">
        <f>IF(R261=0,"",IF(SUM(G264:G276,K264:K276,O264:O270)=R261,"","The totals included next to each jurisdiction do not add up to "&amp;R261&amp;", please revise the figures."))</f>
        <v/>
      </c>
      <c r="E263" s="192"/>
      <c r="F263" s="192"/>
      <c r="G263" s="192"/>
      <c r="H263" s="192"/>
      <c r="I263" s="192"/>
      <c r="J263" s="192"/>
      <c r="K263" s="192"/>
      <c r="L263" s="192"/>
      <c r="M263" s="192"/>
      <c r="N263" s="192"/>
      <c r="O263" s="192"/>
      <c r="P263" s="88"/>
      <c r="R263" s="89"/>
      <c r="T263" s="11" t="str">
        <f>IF(D263="","G","R")</f>
        <v>G</v>
      </c>
    </row>
    <row r="264" spans="2:20" ht="25.5" x14ac:dyDescent="0.25">
      <c r="B264" s="90"/>
      <c r="C264" s="102" t="str">
        <f>$B$261&amp;"-"&amp;D264</f>
        <v>FI-JR-47-F-AF</v>
      </c>
      <c r="D264" s="91" t="s">
        <v>1093</v>
      </c>
      <c r="E264" s="103" t="s">
        <v>317</v>
      </c>
      <c r="F264" s="93"/>
      <c r="G264" s="116">
        <v>0</v>
      </c>
      <c r="H264" s="105" t="str">
        <f>$B$261&amp;"-"&amp;I264</f>
        <v>FI-JR-47-F-LA</v>
      </c>
      <c r="I264" s="91" t="s">
        <v>1317</v>
      </c>
      <c r="J264" s="92" t="s">
        <v>1312</v>
      </c>
      <c r="K264" s="116">
        <v>0</v>
      </c>
      <c r="L264" s="105" t="str">
        <f>$B$261&amp;"-"&amp;M264</f>
        <v>FI-JR-47-F-TZ</v>
      </c>
      <c r="M264" s="91" t="s">
        <v>1110</v>
      </c>
      <c r="N264" s="92" t="s">
        <v>526</v>
      </c>
      <c r="O264" s="99">
        <v>0</v>
      </c>
      <c r="P264" s="95"/>
      <c r="R264" s="89"/>
      <c r="T264" s="11" t="str">
        <f>IF(OR(AND(OR(ISBLANK(G264),ISBLANK(K264),ISBLANK(O264)),$R$261&gt;0),AND($R$261&lt;=0,OR(OR(G264&lt;&gt;0,K264&lt;&gt;0,O264&lt;&gt;0)))),"R","G")</f>
        <v>G</v>
      </c>
    </row>
    <row r="265" spans="2:20" x14ac:dyDescent="0.25">
      <c r="B265" s="90"/>
      <c r="C265" s="102" t="str">
        <f t="shared" ref="C265:C276" si="48">$B$261&amp;"-"&amp;D265</f>
        <v>FI-JR-47-F-DZ</v>
      </c>
      <c r="D265" s="91" t="s">
        <v>1094</v>
      </c>
      <c r="E265" s="103" t="s">
        <v>319</v>
      </c>
      <c r="F265" s="93"/>
      <c r="G265" s="116">
        <v>0</v>
      </c>
      <c r="H265" s="105" t="str">
        <f t="shared" ref="H265:H276" si="49">$B$261&amp;"-"&amp;I265</f>
        <v>FI-JR-47-F-LB</v>
      </c>
      <c r="I265" s="91" t="s">
        <v>1102</v>
      </c>
      <c r="J265" s="92" t="s">
        <v>434</v>
      </c>
      <c r="K265" s="116">
        <v>0</v>
      </c>
      <c r="L265" s="105" t="str">
        <f t="shared" ref="L265:L270" si="50">$B$261&amp;"-"&amp;M265</f>
        <v>FI-JR-47-F-TT</v>
      </c>
      <c r="M265" s="91" t="s">
        <v>1111</v>
      </c>
      <c r="N265" s="92" t="s">
        <v>532</v>
      </c>
      <c r="O265" s="99">
        <v>0</v>
      </c>
      <c r="P265" s="95"/>
      <c r="R265" s="89"/>
      <c r="T265" s="11" t="str">
        <f t="shared" ref="T265:T270" si="51">IF(OR(AND(OR(ISBLANK(G265),ISBLANK(K265),ISBLANK(O265)),$R$261&gt;0),AND($R$261&lt;=0,OR(OR(G265&lt;&gt;0,K265&lt;&gt;0,O265&lt;&gt;0)))),"R","G")</f>
        <v>G</v>
      </c>
    </row>
    <row r="266" spans="2:20" x14ac:dyDescent="0.25">
      <c r="B266" s="90"/>
      <c r="C266" s="102" t="str">
        <f t="shared" si="48"/>
        <v>FI-JR-47-F-AO</v>
      </c>
      <c r="D266" s="91" t="s">
        <v>1095</v>
      </c>
      <c r="E266" s="103" t="s">
        <v>322</v>
      </c>
      <c r="F266" s="93"/>
      <c r="G266" s="116">
        <v>0</v>
      </c>
      <c r="H266" s="105" t="str">
        <f t="shared" si="49"/>
        <v>FI-JR-47-F-ML</v>
      </c>
      <c r="I266" s="91" t="s">
        <v>1103</v>
      </c>
      <c r="J266" s="92" t="s">
        <v>447</v>
      </c>
      <c r="K266" s="116">
        <v>0</v>
      </c>
      <c r="L266" s="105" t="str">
        <f t="shared" si="50"/>
        <v>FI-JR-47-F-VU</v>
      </c>
      <c r="M266" s="91" t="s">
        <v>1112</v>
      </c>
      <c r="N266" s="92" t="s">
        <v>546</v>
      </c>
      <c r="O266" s="99">
        <v>0</v>
      </c>
      <c r="P266" s="95"/>
      <c r="R266" s="89"/>
      <c r="T266" s="11" t="str">
        <f t="shared" si="51"/>
        <v>G</v>
      </c>
    </row>
    <row r="267" spans="2:20" x14ac:dyDescent="0.25">
      <c r="B267" s="90"/>
      <c r="C267" s="102" t="str">
        <f t="shared" si="48"/>
        <v>FI-JR-47-F-BO</v>
      </c>
      <c r="D267" s="91" t="s">
        <v>1316</v>
      </c>
      <c r="E267" s="103" t="s">
        <v>342</v>
      </c>
      <c r="F267" s="93"/>
      <c r="G267" s="116">
        <v>0</v>
      </c>
      <c r="H267" s="105" t="str">
        <f t="shared" si="49"/>
        <v>FI-JR-47-F-MN</v>
      </c>
      <c r="I267" s="91" t="s">
        <v>1315</v>
      </c>
      <c r="J267" s="92" t="s">
        <v>457</v>
      </c>
      <c r="K267" s="116">
        <v>0</v>
      </c>
      <c r="L267" s="105" t="str">
        <f t="shared" si="50"/>
        <v>FI-JR-47-F-VE</v>
      </c>
      <c r="M267" s="91" t="s">
        <v>1113</v>
      </c>
      <c r="N267" s="92" t="s">
        <v>547</v>
      </c>
      <c r="O267" s="99">
        <v>0</v>
      </c>
      <c r="P267" s="95"/>
      <c r="R267" s="89"/>
      <c r="T267" s="11" t="str">
        <f t="shared" si="51"/>
        <v>G</v>
      </c>
    </row>
    <row r="268" spans="2:20" x14ac:dyDescent="0.25">
      <c r="B268" s="90"/>
      <c r="C268" s="102" t="str">
        <f t="shared" si="48"/>
        <v>FI-JR-47-F-BG</v>
      </c>
      <c r="D268" s="91" t="s">
        <v>1096</v>
      </c>
      <c r="E268" s="103" t="s">
        <v>349</v>
      </c>
      <c r="F268" s="93"/>
      <c r="G268" s="116">
        <v>0</v>
      </c>
      <c r="H268" s="105" t="str">
        <f t="shared" si="49"/>
        <v>FI-JR-47-F-MZ</v>
      </c>
      <c r="I268" s="91" t="s">
        <v>1104</v>
      </c>
      <c r="J268" s="92" t="s">
        <v>461</v>
      </c>
      <c r="K268" s="116">
        <v>0</v>
      </c>
      <c r="L268" s="105" t="str">
        <f t="shared" si="50"/>
        <v>FI-JR-47-F-VN</v>
      </c>
      <c r="M268" s="91" t="s">
        <v>1114</v>
      </c>
      <c r="N268" s="92" t="s">
        <v>1313</v>
      </c>
      <c r="O268" s="99">
        <v>0</v>
      </c>
      <c r="P268" s="95"/>
      <c r="R268" s="89"/>
      <c r="T268" s="11" t="str">
        <f t="shared" si="51"/>
        <v>G</v>
      </c>
    </row>
    <row r="269" spans="2:20" x14ac:dyDescent="0.25">
      <c r="B269" s="90"/>
      <c r="C269" s="102" t="str">
        <f t="shared" si="48"/>
        <v>FI-JR-47-F-BF</v>
      </c>
      <c r="D269" s="91" t="s">
        <v>1097</v>
      </c>
      <c r="E269" s="103" t="s">
        <v>350</v>
      </c>
      <c r="F269" s="93"/>
      <c r="G269" s="116">
        <v>0</v>
      </c>
      <c r="H269" s="105" t="str">
        <f t="shared" si="49"/>
        <v>FI-JR-47-F-MM</v>
      </c>
      <c r="I269" s="91" t="s">
        <v>1105</v>
      </c>
      <c r="J269" s="92" t="s">
        <v>462</v>
      </c>
      <c r="K269" s="116">
        <v>0</v>
      </c>
      <c r="L269" s="105" t="str">
        <f t="shared" si="50"/>
        <v>FI-JR-47-F-VI</v>
      </c>
      <c r="M269" s="91" t="s">
        <v>1319</v>
      </c>
      <c r="N269" s="92" t="s">
        <v>1314</v>
      </c>
      <c r="O269" s="99">
        <v>0</v>
      </c>
      <c r="P269" s="95"/>
      <c r="R269" s="89"/>
      <c r="T269" s="11" t="str">
        <f t="shared" si="51"/>
        <v>G</v>
      </c>
    </row>
    <row r="270" spans="2:20" x14ac:dyDescent="0.25">
      <c r="B270" s="90"/>
      <c r="C270" s="102" t="str">
        <f t="shared" si="48"/>
        <v>FI-JR-47-F-CM</v>
      </c>
      <c r="D270" s="91" t="s">
        <v>1098</v>
      </c>
      <c r="E270" s="103" t="s">
        <v>353</v>
      </c>
      <c r="F270" s="93"/>
      <c r="G270" s="116">
        <v>0</v>
      </c>
      <c r="H270" s="105" t="str">
        <f t="shared" si="49"/>
        <v>FI-JR-47-F-NA</v>
      </c>
      <c r="I270" s="91" t="s">
        <v>1106</v>
      </c>
      <c r="J270" s="92" t="s">
        <v>463</v>
      </c>
      <c r="K270" s="116">
        <v>0</v>
      </c>
      <c r="L270" s="105" t="str">
        <f t="shared" si="50"/>
        <v>FI-JR-47-F-YE</v>
      </c>
      <c r="M270" s="91" t="s">
        <v>1115</v>
      </c>
      <c r="N270" s="92" t="s">
        <v>553</v>
      </c>
      <c r="O270" s="99">
        <v>0</v>
      </c>
      <c r="P270" s="95"/>
      <c r="R270" s="89"/>
      <c r="T270" s="11" t="str">
        <f t="shared" si="51"/>
        <v>G</v>
      </c>
    </row>
    <row r="271" spans="2:20" ht="38.25" x14ac:dyDescent="0.25">
      <c r="B271" s="90"/>
      <c r="C271" s="102" t="str">
        <f t="shared" si="48"/>
        <v>FI-JR-47-F-CD</v>
      </c>
      <c r="D271" s="91" t="s">
        <v>1099</v>
      </c>
      <c r="E271" s="103" t="s">
        <v>366</v>
      </c>
      <c r="F271" s="93"/>
      <c r="G271" s="116">
        <v>0</v>
      </c>
      <c r="H271" s="105" t="str">
        <f t="shared" si="49"/>
        <v>FI-JR-47-F-NP</v>
      </c>
      <c r="I271" s="91" t="s">
        <v>1318</v>
      </c>
      <c r="J271" s="92" t="s">
        <v>465</v>
      </c>
      <c r="K271" s="116">
        <v>0</v>
      </c>
      <c r="L271" s="95"/>
      <c r="M271" s="95"/>
      <c r="N271" s="95"/>
      <c r="O271" s="95"/>
      <c r="P271" s="95"/>
      <c r="R271" s="89"/>
      <c r="T271" s="11" t="str">
        <f t="shared" ref="T271:T276" si="52">IF(OR(AND(OR(ISBLANK(G271),ISBLANK(K271)),$R$261&gt;0),AND($R$261&lt;=0,OR(OR(G271&lt;&gt;0,K271&lt;&gt;0)))),"R","G")</f>
        <v>G</v>
      </c>
    </row>
    <row r="272" spans="2:20" x14ac:dyDescent="0.25">
      <c r="B272" s="90"/>
      <c r="C272" s="102" t="str">
        <f t="shared" si="48"/>
        <v>FI-JR-47-F-CI</v>
      </c>
      <c r="D272" s="91" t="s">
        <v>1091</v>
      </c>
      <c r="E272" s="103" t="s">
        <v>369</v>
      </c>
      <c r="F272" s="93"/>
      <c r="G272" s="116">
        <v>0</v>
      </c>
      <c r="H272" s="105" t="str">
        <f t="shared" si="49"/>
        <v>FI-JR-47-F-NG</v>
      </c>
      <c r="I272" s="91" t="s">
        <v>1107</v>
      </c>
      <c r="J272" s="92" t="s">
        <v>472</v>
      </c>
      <c r="K272" s="116">
        <v>0</v>
      </c>
      <c r="L272" s="95"/>
      <c r="M272" s="95"/>
      <c r="N272" s="95"/>
      <c r="O272" s="95"/>
      <c r="P272" s="95"/>
      <c r="R272" s="89"/>
      <c r="T272" s="11" t="str">
        <f t="shared" si="52"/>
        <v>G</v>
      </c>
    </row>
    <row r="273" spans="2:20" x14ac:dyDescent="0.25">
      <c r="B273" s="90"/>
      <c r="C273" s="102" t="str">
        <f t="shared" si="48"/>
        <v>FI-JR-47-F-HT</v>
      </c>
      <c r="D273" s="91" t="s">
        <v>1100</v>
      </c>
      <c r="E273" s="103" t="s">
        <v>408</v>
      </c>
      <c r="F273" s="93"/>
      <c r="G273" s="116">
        <v>0</v>
      </c>
      <c r="H273" s="105" t="str">
        <f t="shared" si="49"/>
        <v>FI-JR-47-F-RU</v>
      </c>
      <c r="I273" s="91" t="s">
        <v>1321</v>
      </c>
      <c r="J273" s="92" t="s">
        <v>1320</v>
      </c>
      <c r="K273" s="116">
        <v>0</v>
      </c>
      <c r="L273" s="95"/>
      <c r="M273" s="95"/>
      <c r="N273" s="95"/>
      <c r="O273" s="95"/>
      <c r="P273" s="95"/>
      <c r="R273" s="89"/>
      <c r="T273" s="11" t="str">
        <f t="shared" si="52"/>
        <v>G</v>
      </c>
    </row>
    <row r="274" spans="2:20" ht="25.5" x14ac:dyDescent="0.25">
      <c r="B274" s="90"/>
      <c r="C274" s="102" t="str">
        <f t="shared" si="48"/>
        <v>FI-JR-47-F-IR</v>
      </c>
      <c r="D274" s="91" t="s">
        <v>912</v>
      </c>
      <c r="E274" s="103" t="s">
        <v>417</v>
      </c>
      <c r="F274" s="93"/>
      <c r="G274" s="116">
        <v>0</v>
      </c>
      <c r="H274" s="105" t="str">
        <f t="shared" si="49"/>
        <v>FI-JR-47-F-ZA</v>
      </c>
      <c r="I274" s="91" t="s">
        <v>1108</v>
      </c>
      <c r="J274" s="92" t="s">
        <v>513</v>
      </c>
      <c r="K274" s="116">
        <v>0</v>
      </c>
      <c r="L274" s="95"/>
      <c r="M274" s="95"/>
      <c r="N274" s="95"/>
      <c r="O274" s="95"/>
      <c r="P274" s="95"/>
      <c r="R274" s="89"/>
      <c r="T274" s="11" t="str">
        <f t="shared" si="52"/>
        <v>G</v>
      </c>
    </row>
    <row r="275" spans="2:20" x14ac:dyDescent="0.25">
      <c r="B275" s="90"/>
      <c r="C275" s="102" t="str">
        <f t="shared" si="48"/>
        <v>FI-JR-47-F-KE</v>
      </c>
      <c r="D275" s="91" t="s">
        <v>1101</v>
      </c>
      <c r="E275" s="103" t="s">
        <v>426</v>
      </c>
      <c r="F275" s="93"/>
      <c r="G275" s="116">
        <v>0</v>
      </c>
      <c r="H275" s="105" t="str">
        <f t="shared" si="49"/>
        <v>FI-JR-47-F-SS</v>
      </c>
      <c r="I275" s="91" t="s">
        <v>1089</v>
      </c>
      <c r="J275" s="92" t="s">
        <v>1088</v>
      </c>
      <c r="K275" s="99">
        <v>0</v>
      </c>
      <c r="L275" s="94"/>
      <c r="M275" s="95"/>
      <c r="N275" s="95"/>
      <c r="O275" s="95"/>
      <c r="P275" s="95"/>
      <c r="R275" s="89"/>
      <c r="T275" s="11" t="str">
        <f t="shared" si="52"/>
        <v>G</v>
      </c>
    </row>
    <row r="276" spans="2:20" ht="25.5" x14ac:dyDescent="0.25">
      <c r="B276" s="90"/>
      <c r="C276" s="102" t="str">
        <f t="shared" si="48"/>
        <v>FI-JR-47-F-KP</v>
      </c>
      <c r="D276" s="91" t="s">
        <v>1090</v>
      </c>
      <c r="E276" s="103" t="s">
        <v>428</v>
      </c>
      <c r="F276" s="96"/>
      <c r="G276" s="116">
        <v>0</v>
      </c>
      <c r="H276" s="105" t="str">
        <f t="shared" si="49"/>
        <v>FI-JR-47-F-SY</v>
      </c>
      <c r="I276" s="91" t="s">
        <v>1109</v>
      </c>
      <c r="J276" s="92" t="s">
        <v>523</v>
      </c>
      <c r="K276" s="99">
        <v>0</v>
      </c>
      <c r="L276" s="94"/>
      <c r="M276" s="95"/>
      <c r="N276" s="95"/>
      <c r="O276" s="95"/>
      <c r="P276" s="95"/>
      <c r="R276" s="89"/>
      <c r="T276" s="11" t="str">
        <f t="shared" si="52"/>
        <v>G</v>
      </c>
    </row>
    <row r="277" spans="2:20" ht="17.45" customHeight="1" x14ac:dyDescent="0.25">
      <c r="E277" s="52"/>
      <c r="F277" s="52"/>
      <c r="G277" s="52"/>
      <c r="H277" s="52"/>
      <c r="I277" s="52"/>
      <c r="J277" s="52"/>
      <c r="K277" s="52"/>
      <c r="L277" s="52"/>
      <c r="M277" s="52"/>
      <c r="N277" s="52"/>
      <c r="O277" s="52"/>
      <c r="P277" s="52"/>
    </row>
    <row r="278" spans="2:20" ht="37.5" customHeight="1" x14ac:dyDescent="0.25">
      <c r="B278" s="15" t="s">
        <v>751</v>
      </c>
      <c r="D278" s="186" t="s">
        <v>1152</v>
      </c>
      <c r="E278" s="186"/>
      <c r="F278" s="186"/>
      <c r="G278" s="186"/>
      <c r="H278" s="186"/>
      <c r="I278" s="186"/>
      <c r="J278" s="186"/>
      <c r="K278" s="186"/>
      <c r="L278" s="186"/>
      <c r="M278" s="186"/>
      <c r="N278" s="186"/>
      <c r="O278" s="186"/>
      <c r="P278" s="52"/>
      <c r="R278" s="10"/>
    </row>
    <row r="279" spans="2:20" ht="52.5" customHeight="1" x14ac:dyDescent="0.25">
      <c r="D279" s="190" t="s">
        <v>1349</v>
      </c>
      <c r="E279" s="190"/>
      <c r="F279" s="190"/>
      <c r="G279" s="190"/>
      <c r="H279" s="190"/>
      <c r="I279" s="190"/>
      <c r="J279" s="190"/>
      <c r="K279" s="190"/>
      <c r="L279" s="190"/>
      <c r="M279" s="190"/>
      <c r="N279" s="190"/>
      <c r="O279" s="190"/>
      <c r="P279" s="190"/>
      <c r="R279" s="101"/>
    </row>
    <row r="280" spans="2:20" ht="15" customHeight="1" x14ac:dyDescent="0.25">
      <c r="B280" s="46" t="str">
        <f>B278&amp;"-M"</f>
        <v>FI-JR-48-M</v>
      </c>
      <c r="C280" s="46"/>
      <c r="D280" s="84"/>
      <c r="E280" s="189" t="s">
        <v>448</v>
      </c>
      <c r="F280" s="189"/>
      <c r="G280" s="189"/>
      <c r="H280" s="189"/>
      <c r="I280" s="189"/>
      <c r="J280" s="189"/>
      <c r="K280" s="189"/>
      <c r="L280" s="189"/>
      <c r="M280" s="189"/>
      <c r="N280" s="189"/>
      <c r="O280" s="189"/>
      <c r="P280" s="52"/>
      <c r="R280" s="67"/>
      <c r="T280" s="11" t="str">
        <f>IF(OR(AND(ISBLANK(R280),CR.63&gt;0),AND(CR.63&lt;=0,NOT(ISBLANK(R280)))),"R","G")</f>
        <v>G</v>
      </c>
    </row>
    <row r="281" spans="2:20" ht="15" customHeight="1" x14ac:dyDescent="0.25">
      <c r="B281" s="46" t="str">
        <f>B278&amp;"-E"</f>
        <v>FI-JR-48-E</v>
      </c>
      <c r="C281" s="46"/>
      <c r="D281" s="84"/>
      <c r="E281" s="189" t="s">
        <v>1084</v>
      </c>
      <c r="F281" s="189"/>
      <c r="G281" s="189"/>
      <c r="H281" s="189"/>
      <c r="I281" s="189"/>
      <c r="J281" s="189"/>
      <c r="K281" s="189"/>
      <c r="L281" s="189"/>
      <c r="M281" s="189"/>
      <c r="N281" s="189"/>
      <c r="O281" s="189"/>
      <c r="P281" s="52"/>
      <c r="R281" s="67"/>
      <c r="T281" s="11" t="str">
        <f>IF(OR(AND(ISBLANK(R281),CR.63&gt;0),AND(CR.63&lt;=0,NOT(ISBLANK(R281)))),"R","G")</f>
        <v>G</v>
      </c>
    </row>
    <row r="282" spans="2:20" ht="15" customHeight="1" x14ac:dyDescent="0.25">
      <c r="B282" s="46" t="str">
        <f>B278&amp;"-N"</f>
        <v>FI-JR-48-N</v>
      </c>
      <c r="C282" s="46"/>
      <c r="D282" s="84"/>
      <c r="E282" s="189" t="s">
        <v>1085</v>
      </c>
      <c r="F282" s="189"/>
      <c r="G282" s="189"/>
      <c r="H282" s="189"/>
      <c r="I282" s="189"/>
      <c r="J282" s="189"/>
      <c r="K282" s="189"/>
      <c r="L282" s="189"/>
      <c r="M282" s="189"/>
      <c r="N282" s="189"/>
      <c r="O282" s="189"/>
      <c r="P282" s="52"/>
      <c r="R282" s="67"/>
      <c r="T282" s="11" t="str">
        <f>IF(OR(AND(ISBLANK(R282),CR.63&gt;0),AND(CR.63&lt;=0,NOT(ISBLANK(R282)))),"R","G")</f>
        <v>G</v>
      </c>
    </row>
    <row r="283" spans="2:20" ht="27" customHeight="1" x14ac:dyDescent="0.25">
      <c r="B283" s="46" t="str">
        <f>B278&amp;"-F"</f>
        <v>FI-JR-48-F</v>
      </c>
      <c r="C283" s="46"/>
      <c r="D283" s="84"/>
      <c r="E283" s="191" t="s">
        <v>1086</v>
      </c>
      <c r="F283" s="191"/>
      <c r="G283" s="191"/>
      <c r="H283" s="191"/>
      <c r="I283" s="191"/>
      <c r="J283" s="191"/>
      <c r="K283" s="191"/>
      <c r="L283" s="191"/>
      <c r="M283" s="191"/>
      <c r="N283" s="191"/>
      <c r="O283" s="191"/>
      <c r="P283" s="86"/>
      <c r="R283" s="67"/>
      <c r="T283" s="11" t="str">
        <f>IF(OR(AND(ISBLANK(R283),CR.63&gt;0),AND(CR.63&lt;=0,NOT(ISBLANK(R283)))),"R","G")</f>
        <v>G</v>
      </c>
    </row>
    <row r="284" spans="2:20" ht="9.75" customHeight="1" x14ac:dyDescent="0.25">
      <c r="B284" s="10"/>
      <c r="C284" s="10"/>
      <c r="D284" s="10"/>
      <c r="E284" s="10"/>
      <c r="F284" s="10"/>
      <c r="G284" s="10"/>
      <c r="H284" s="10"/>
      <c r="I284" s="10"/>
      <c r="J284" s="10"/>
      <c r="K284" s="10"/>
      <c r="L284" s="10"/>
      <c r="M284" s="10"/>
      <c r="N284" s="10"/>
      <c r="O284" s="10"/>
      <c r="P284" s="10"/>
      <c r="R284" s="10"/>
    </row>
    <row r="285" spans="2:20" ht="15" customHeight="1" x14ac:dyDescent="0.25">
      <c r="B285" s="87"/>
      <c r="C285" s="87"/>
      <c r="D285" s="192" t="str">
        <f>IF(R283=0,"",IF(SUM(G286:G298,K286:K298,O286:O292)=R283,"","The totals included next to each jurisdiction do not add up to "&amp;R283&amp;", please revise the figures."))</f>
        <v/>
      </c>
      <c r="E285" s="192"/>
      <c r="F285" s="192"/>
      <c r="G285" s="192"/>
      <c r="H285" s="192"/>
      <c r="I285" s="192"/>
      <c r="J285" s="192"/>
      <c r="K285" s="192"/>
      <c r="L285" s="192"/>
      <c r="M285" s="192"/>
      <c r="N285" s="192"/>
      <c r="O285" s="192"/>
      <c r="P285" s="88"/>
      <c r="R285" s="89"/>
      <c r="T285" s="11" t="str">
        <f>IF(D285="","G","R")</f>
        <v>G</v>
      </c>
    </row>
    <row r="286" spans="2:20" ht="25.5" x14ac:dyDescent="0.25">
      <c r="B286" s="90"/>
      <c r="C286" s="102" t="str">
        <f>$B$283&amp;"-"&amp;D286</f>
        <v>FI-JR-48-F-AF</v>
      </c>
      <c r="D286" s="91" t="s">
        <v>1093</v>
      </c>
      <c r="E286" s="103" t="s">
        <v>317</v>
      </c>
      <c r="F286" s="93"/>
      <c r="G286" s="116">
        <v>0</v>
      </c>
      <c r="H286" s="105" t="str">
        <f>$B$283&amp;"-"&amp;I286</f>
        <v>FI-JR-48-F-LA</v>
      </c>
      <c r="I286" s="91" t="s">
        <v>1317</v>
      </c>
      <c r="J286" s="92" t="s">
        <v>1312</v>
      </c>
      <c r="K286" s="116">
        <v>0</v>
      </c>
      <c r="L286" s="105" t="str">
        <f>$B$283&amp;"-"&amp;M286</f>
        <v>FI-JR-48-F-TZ</v>
      </c>
      <c r="M286" s="91" t="s">
        <v>1110</v>
      </c>
      <c r="N286" s="92" t="s">
        <v>526</v>
      </c>
      <c r="O286" s="99">
        <v>0</v>
      </c>
      <c r="P286" s="95"/>
      <c r="R286" s="89"/>
      <c r="T286" s="11" t="str">
        <f>IF(OR(AND(OR(ISBLANK(G286),ISBLANK(K286),ISBLANK(O286)),$R$283&gt;0),AND($R$283&lt;=0,OR(OR(G286&lt;&gt;0,K286&lt;&gt;0,O286&lt;&gt;0)))),"R","G")</f>
        <v>G</v>
      </c>
    </row>
    <row r="287" spans="2:20" x14ac:dyDescent="0.25">
      <c r="B287" s="90"/>
      <c r="C287" s="102" t="str">
        <f t="shared" ref="C287:C298" si="53">$B$283&amp;"-"&amp;D287</f>
        <v>FI-JR-48-F-DZ</v>
      </c>
      <c r="D287" s="91" t="s">
        <v>1094</v>
      </c>
      <c r="E287" s="103" t="s">
        <v>319</v>
      </c>
      <c r="F287" s="93"/>
      <c r="G287" s="116">
        <v>0</v>
      </c>
      <c r="H287" s="105" t="str">
        <f t="shared" ref="H287:H298" si="54">$B$283&amp;"-"&amp;I287</f>
        <v>FI-JR-48-F-LB</v>
      </c>
      <c r="I287" s="91" t="s">
        <v>1102</v>
      </c>
      <c r="J287" s="92" t="s">
        <v>434</v>
      </c>
      <c r="K287" s="116">
        <v>0</v>
      </c>
      <c r="L287" s="105" t="str">
        <f t="shared" ref="L287:L292" si="55">$B$283&amp;"-"&amp;M287</f>
        <v>FI-JR-48-F-TT</v>
      </c>
      <c r="M287" s="91" t="s">
        <v>1111</v>
      </c>
      <c r="N287" s="92" t="s">
        <v>532</v>
      </c>
      <c r="O287" s="99">
        <v>0</v>
      </c>
      <c r="P287" s="95"/>
      <c r="R287" s="89"/>
      <c r="T287" s="11" t="str">
        <f t="shared" ref="T287:T292" si="56">IF(OR(AND(OR(ISBLANK(G287),ISBLANK(K287),ISBLANK(O287)),$R$283&gt;0),AND($R$283&lt;=0,OR(OR(G287&lt;&gt;0,K287&lt;&gt;0,O287&lt;&gt;0)))),"R","G")</f>
        <v>G</v>
      </c>
    </row>
    <row r="288" spans="2:20" x14ac:dyDescent="0.25">
      <c r="B288" s="90"/>
      <c r="C288" s="102" t="str">
        <f t="shared" si="53"/>
        <v>FI-JR-48-F-AO</v>
      </c>
      <c r="D288" s="91" t="s">
        <v>1095</v>
      </c>
      <c r="E288" s="103" t="s">
        <v>322</v>
      </c>
      <c r="F288" s="93"/>
      <c r="G288" s="116">
        <v>0</v>
      </c>
      <c r="H288" s="105" t="str">
        <f t="shared" si="54"/>
        <v>FI-JR-48-F-ML</v>
      </c>
      <c r="I288" s="91" t="s">
        <v>1103</v>
      </c>
      <c r="J288" s="92" t="s">
        <v>447</v>
      </c>
      <c r="K288" s="116">
        <v>0</v>
      </c>
      <c r="L288" s="105" t="str">
        <f t="shared" si="55"/>
        <v>FI-JR-48-F-VU</v>
      </c>
      <c r="M288" s="91" t="s">
        <v>1112</v>
      </c>
      <c r="N288" s="92" t="s">
        <v>546</v>
      </c>
      <c r="O288" s="99">
        <v>0</v>
      </c>
      <c r="P288" s="95"/>
      <c r="R288" s="89"/>
      <c r="T288" s="11" t="str">
        <f t="shared" si="56"/>
        <v>G</v>
      </c>
    </row>
    <row r="289" spans="2:20" x14ac:dyDescent="0.25">
      <c r="B289" s="90"/>
      <c r="C289" s="102" t="str">
        <f t="shared" si="53"/>
        <v>FI-JR-48-F-BO</v>
      </c>
      <c r="D289" s="91" t="s">
        <v>1316</v>
      </c>
      <c r="E289" s="103" t="s">
        <v>342</v>
      </c>
      <c r="F289" s="93"/>
      <c r="G289" s="116">
        <v>0</v>
      </c>
      <c r="H289" s="105" t="str">
        <f t="shared" si="54"/>
        <v>FI-JR-48-F-MN</v>
      </c>
      <c r="I289" s="91" t="s">
        <v>1315</v>
      </c>
      <c r="J289" s="92" t="s">
        <v>457</v>
      </c>
      <c r="K289" s="116">
        <v>0</v>
      </c>
      <c r="L289" s="105" t="str">
        <f t="shared" si="55"/>
        <v>FI-JR-48-F-VE</v>
      </c>
      <c r="M289" s="91" t="s">
        <v>1113</v>
      </c>
      <c r="N289" s="92" t="s">
        <v>547</v>
      </c>
      <c r="O289" s="99">
        <v>0</v>
      </c>
      <c r="P289" s="95"/>
      <c r="R289" s="89"/>
      <c r="T289" s="11" t="str">
        <f t="shared" si="56"/>
        <v>G</v>
      </c>
    </row>
    <row r="290" spans="2:20" x14ac:dyDescent="0.25">
      <c r="B290" s="90"/>
      <c r="C290" s="102" t="str">
        <f t="shared" si="53"/>
        <v>FI-JR-48-F-BG</v>
      </c>
      <c r="D290" s="91" t="s">
        <v>1096</v>
      </c>
      <c r="E290" s="103" t="s">
        <v>349</v>
      </c>
      <c r="F290" s="93"/>
      <c r="G290" s="116">
        <v>0</v>
      </c>
      <c r="H290" s="105" t="str">
        <f t="shared" si="54"/>
        <v>FI-JR-48-F-MZ</v>
      </c>
      <c r="I290" s="91" t="s">
        <v>1104</v>
      </c>
      <c r="J290" s="92" t="s">
        <v>461</v>
      </c>
      <c r="K290" s="116">
        <v>0</v>
      </c>
      <c r="L290" s="105" t="str">
        <f t="shared" si="55"/>
        <v>FI-JR-48-F-VN</v>
      </c>
      <c r="M290" s="91" t="s">
        <v>1114</v>
      </c>
      <c r="N290" s="92" t="s">
        <v>1313</v>
      </c>
      <c r="O290" s="99">
        <v>0</v>
      </c>
      <c r="P290" s="95"/>
      <c r="R290" s="89"/>
      <c r="T290" s="11" t="str">
        <f t="shared" si="56"/>
        <v>G</v>
      </c>
    </row>
    <row r="291" spans="2:20" x14ac:dyDescent="0.25">
      <c r="B291" s="90"/>
      <c r="C291" s="102" t="str">
        <f t="shared" si="53"/>
        <v>FI-JR-48-F-BF</v>
      </c>
      <c r="D291" s="91" t="s">
        <v>1097</v>
      </c>
      <c r="E291" s="103" t="s">
        <v>350</v>
      </c>
      <c r="F291" s="93"/>
      <c r="G291" s="116">
        <v>0</v>
      </c>
      <c r="H291" s="105" t="str">
        <f t="shared" si="54"/>
        <v>FI-JR-48-F-MM</v>
      </c>
      <c r="I291" s="91" t="s">
        <v>1105</v>
      </c>
      <c r="J291" s="92" t="s">
        <v>462</v>
      </c>
      <c r="K291" s="116">
        <v>0</v>
      </c>
      <c r="L291" s="105" t="str">
        <f t="shared" si="55"/>
        <v>FI-JR-48-F-VI</v>
      </c>
      <c r="M291" s="91" t="s">
        <v>1319</v>
      </c>
      <c r="N291" s="92" t="s">
        <v>1314</v>
      </c>
      <c r="O291" s="99">
        <v>0</v>
      </c>
      <c r="P291" s="95"/>
      <c r="R291" s="89"/>
      <c r="T291" s="11" t="str">
        <f t="shared" si="56"/>
        <v>G</v>
      </c>
    </row>
    <row r="292" spans="2:20" x14ac:dyDescent="0.25">
      <c r="B292" s="90"/>
      <c r="C292" s="102" t="str">
        <f t="shared" si="53"/>
        <v>FI-JR-48-F-CM</v>
      </c>
      <c r="D292" s="91" t="s">
        <v>1098</v>
      </c>
      <c r="E292" s="103" t="s">
        <v>353</v>
      </c>
      <c r="F292" s="93"/>
      <c r="G292" s="116">
        <v>0</v>
      </c>
      <c r="H292" s="105" t="str">
        <f t="shared" si="54"/>
        <v>FI-JR-48-F-NA</v>
      </c>
      <c r="I292" s="91" t="s">
        <v>1106</v>
      </c>
      <c r="J292" s="92" t="s">
        <v>463</v>
      </c>
      <c r="K292" s="116">
        <v>0</v>
      </c>
      <c r="L292" s="105" t="str">
        <f t="shared" si="55"/>
        <v>FI-JR-48-F-YE</v>
      </c>
      <c r="M292" s="91" t="s">
        <v>1115</v>
      </c>
      <c r="N292" s="92" t="s">
        <v>553</v>
      </c>
      <c r="O292" s="99">
        <v>0</v>
      </c>
      <c r="P292" s="95"/>
      <c r="R292" s="89"/>
      <c r="T292" s="11" t="str">
        <f t="shared" si="56"/>
        <v>G</v>
      </c>
    </row>
    <row r="293" spans="2:20" ht="38.25" x14ac:dyDescent="0.25">
      <c r="B293" s="90"/>
      <c r="C293" s="102" t="str">
        <f t="shared" si="53"/>
        <v>FI-JR-48-F-CD</v>
      </c>
      <c r="D293" s="91" t="s">
        <v>1099</v>
      </c>
      <c r="E293" s="103" t="s">
        <v>366</v>
      </c>
      <c r="F293" s="93"/>
      <c r="G293" s="116">
        <v>0</v>
      </c>
      <c r="H293" s="105" t="str">
        <f t="shared" si="54"/>
        <v>FI-JR-48-F-NP</v>
      </c>
      <c r="I293" s="91" t="s">
        <v>1318</v>
      </c>
      <c r="J293" s="92" t="s">
        <v>465</v>
      </c>
      <c r="K293" s="116">
        <v>0</v>
      </c>
      <c r="L293" s="95"/>
      <c r="M293" s="95"/>
      <c r="N293" s="95"/>
      <c r="O293" s="95"/>
      <c r="P293" s="95"/>
      <c r="R293" s="89"/>
      <c r="T293" s="11" t="str">
        <f t="shared" ref="T293:T298" si="57">IF(OR(AND(OR(ISBLANK(G293),ISBLANK(K293)),$R$283&gt;0),AND($R$283&lt;=0,OR(OR(G293&lt;&gt;0,K293&lt;&gt;0)))),"R","G")</f>
        <v>G</v>
      </c>
    </row>
    <row r="294" spans="2:20" x14ac:dyDescent="0.25">
      <c r="B294" s="90"/>
      <c r="C294" s="102" t="str">
        <f t="shared" si="53"/>
        <v>FI-JR-48-F-CI</v>
      </c>
      <c r="D294" s="91" t="s">
        <v>1091</v>
      </c>
      <c r="E294" s="103" t="s">
        <v>369</v>
      </c>
      <c r="F294" s="93"/>
      <c r="G294" s="116">
        <v>0</v>
      </c>
      <c r="H294" s="105" t="str">
        <f t="shared" si="54"/>
        <v>FI-JR-48-F-NG</v>
      </c>
      <c r="I294" s="91" t="s">
        <v>1107</v>
      </c>
      <c r="J294" s="92" t="s">
        <v>472</v>
      </c>
      <c r="K294" s="116">
        <v>0</v>
      </c>
      <c r="L294" s="95"/>
      <c r="M294" s="95"/>
      <c r="N294" s="95"/>
      <c r="O294" s="95"/>
      <c r="P294" s="95"/>
      <c r="R294" s="89"/>
      <c r="T294" s="11" t="str">
        <f t="shared" si="57"/>
        <v>G</v>
      </c>
    </row>
    <row r="295" spans="2:20" x14ac:dyDescent="0.25">
      <c r="B295" s="90"/>
      <c r="C295" s="102" t="str">
        <f t="shared" si="53"/>
        <v>FI-JR-48-F-HT</v>
      </c>
      <c r="D295" s="91" t="s">
        <v>1100</v>
      </c>
      <c r="E295" s="103" t="s">
        <v>408</v>
      </c>
      <c r="F295" s="93"/>
      <c r="G295" s="116">
        <v>0</v>
      </c>
      <c r="H295" s="105" t="str">
        <f t="shared" si="54"/>
        <v>FI-JR-48-F-RU</v>
      </c>
      <c r="I295" s="91" t="s">
        <v>1321</v>
      </c>
      <c r="J295" s="92" t="s">
        <v>1320</v>
      </c>
      <c r="K295" s="116">
        <v>0</v>
      </c>
      <c r="L295" s="95"/>
      <c r="M295" s="95"/>
      <c r="N295" s="95"/>
      <c r="O295" s="95"/>
      <c r="P295" s="95"/>
      <c r="R295" s="89"/>
      <c r="T295" s="11" t="str">
        <f t="shared" si="57"/>
        <v>G</v>
      </c>
    </row>
    <row r="296" spans="2:20" ht="25.5" x14ac:dyDescent="0.25">
      <c r="B296" s="90"/>
      <c r="C296" s="102" t="str">
        <f t="shared" si="53"/>
        <v>FI-JR-48-F-IR</v>
      </c>
      <c r="D296" s="91" t="s">
        <v>912</v>
      </c>
      <c r="E296" s="103" t="s">
        <v>417</v>
      </c>
      <c r="F296" s="93"/>
      <c r="G296" s="116">
        <v>0</v>
      </c>
      <c r="H296" s="105" t="str">
        <f t="shared" si="54"/>
        <v>FI-JR-48-F-ZA</v>
      </c>
      <c r="I296" s="91" t="s">
        <v>1108</v>
      </c>
      <c r="J296" s="92" t="s">
        <v>513</v>
      </c>
      <c r="K296" s="116">
        <v>0</v>
      </c>
      <c r="L296" s="95"/>
      <c r="M296" s="95"/>
      <c r="N296" s="95"/>
      <c r="O296" s="95"/>
      <c r="P296" s="95"/>
      <c r="R296" s="89"/>
      <c r="T296" s="11" t="str">
        <f t="shared" si="57"/>
        <v>G</v>
      </c>
    </row>
    <row r="297" spans="2:20" x14ac:dyDescent="0.25">
      <c r="B297" s="90"/>
      <c r="C297" s="102" t="str">
        <f t="shared" si="53"/>
        <v>FI-JR-48-F-KE</v>
      </c>
      <c r="D297" s="91" t="s">
        <v>1101</v>
      </c>
      <c r="E297" s="103" t="s">
        <v>426</v>
      </c>
      <c r="F297" s="93"/>
      <c r="G297" s="116">
        <v>0</v>
      </c>
      <c r="H297" s="105" t="str">
        <f t="shared" si="54"/>
        <v>FI-JR-48-F-SS</v>
      </c>
      <c r="I297" s="91" t="s">
        <v>1089</v>
      </c>
      <c r="J297" s="92" t="s">
        <v>1088</v>
      </c>
      <c r="K297" s="99">
        <v>0</v>
      </c>
      <c r="L297" s="95"/>
      <c r="M297" s="95"/>
      <c r="N297" s="95"/>
      <c r="O297" s="95"/>
      <c r="P297" s="95"/>
      <c r="R297" s="89"/>
      <c r="T297" s="11" t="str">
        <f t="shared" si="57"/>
        <v>G</v>
      </c>
    </row>
    <row r="298" spans="2:20" ht="25.5" x14ac:dyDescent="0.25">
      <c r="B298" s="90"/>
      <c r="C298" s="102" t="str">
        <f t="shared" si="53"/>
        <v>FI-JR-48-F-KP</v>
      </c>
      <c r="D298" s="91" t="s">
        <v>1090</v>
      </c>
      <c r="E298" s="103" t="s">
        <v>428</v>
      </c>
      <c r="F298" s="96"/>
      <c r="G298" s="116">
        <v>0</v>
      </c>
      <c r="H298" s="105" t="str">
        <f t="shared" si="54"/>
        <v>FI-JR-48-F-SY</v>
      </c>
      <c r="I298" s="91" t="s">
        <v>1109</v>
      </c>
      <c r="J298" s="92" t="s">
        <v>523</v>
      </c>
      <c r="K298" s="99">
        <v>0</v>
      </c>
      <c r="L298" s="94"/>
      <c r="M298" s="95"/>
      <c r="N298" s="95"/>
      <c r="O298" s="95"/>
      <c r="P298" s="95"/>
      <c r="R298" s="89"/>
      <c r="T298" s="11" t="str">
        <f t="shared" si="57"/>
        <v>G</v>
      </c>
    </row>
    <row r="299" spans="2:20" ht="17.45" customHeight="1" x14ac:dyDescent="0.25">
      <c r="E299" s="52"/>
      <c r="F299" s="52"/>
      <c r="G299" s="52"/>
      <c r="H299" s="52"/>
      <c r="I299" s="52"/>
      <c r="J299" s="52"/>
      <c r="K299" s="52"/>
      <c r="L299" s="52"/>
      <c r="M299" s="52"/>
      <c r="N299" s="52"/>
      <c r="O299" s="52"/>
      <c r="P299" s="52"/>
    </row>
    <row r="300" spans="2:20" ht="37.5" customHeight="1" x14ac:dyDescent="0.25">
      <c r="B300" s="15" t="s">
        <v>752</v>
      </c>
      <c r="D300" s="186" t="s">
        <v>881</v>
      </c>
      <c r="E300" s="186"/>
      <c r="F300" s="186"/>
      <c r="G300" s="186"/>
      <c r="H300" s="186"/>
      <c r="I300" s="186"/>
      <c r="J300" s="186"/>
      <c r="K300" s="186"/>
      <c r="L300" s="186"/>
      <c r="M300" s="186"/>
      <c r="N300" s="186"/>
      <c r="O300" s="186"/>
      <c r="P300" s="52"/>
      <c r="R300" s="10"/>
    </row>
    <row r="301" spans="2:20" ht="52.5" customHeight="1" x14ac:dyDescent="0.25">
      <c r="D301" s="190" t="s">
        <v>1349</v>
      </c>
      <c r="E301" s="190"/>
      <c r="F301" s="190"/>
      <c r="G301" s="190"/>
      <c r="H301" s="190"/>
      <c r="I301" s="190"/>
      <c r="J301" s="190"/>
      <c r="K301" s="190"/>
      <c r="L301" s="190"/>
      <c r="M301" s="190"/>
      <c r="N301" s="190"/>
      <c r="O301" s="190"/>
      <c r="P301" s="190"/>
      <c r="R301" s="101"/>
    </row>
    <row r="302" spans="2:20" ht="15" customHeight="1" x14ac:dyDescent="0.25">
      <c r="B302" s="46" t="str">
        <f>B300&amp;"-M"</f>
        <v>FI-JR-50-M</v>
      </c>
      <c r="C302" s="46"/>
      <c r="D302" s="84"/>
      <c r="E302" s="189" t="s">
        <v>448</v>
      </c>
      <c r="F302" s="189"/>
      <c r="G302" s="189"/>
      <c r="H302" s="189"/>
      <c r="I302" s="189"/>
      <c r="J302" s="189"/>
      <c r="K302" s="189"/>
      <c r="L302" s="189"/>
      <c r="M302" s="189"/>
      <c r="N302" s="189"/>
      <c r="O302" s="189"/>
      <c r="P302" s="111" t="s">
        <v>985</v>
      </c>
      <c r="R302" s="17"/>
      <c r="T302" s="11" t="str">
        <f>IF(OR(AND(ISBLANK(R302),OR(PR.133="Yes",PR.133="No")),AND(AND(PR.133&lt;&gt;"Yes",PR.133&lt;&gt;"No"),NOT(ISBLANK(R302)))),"R","G")</f>
        <v>G</v>
      </c>
    </row>
    <row r="303" spans="2:20" ht="15" customHeight="1" x14ac:dyDescent="0.25">
      <c r="B303" s="46" t="str">
        <f>B300&amp;"-E"</f>
        <v>FI-JR-50-E</v>
      </c>
      <c r="C303" s="46"/>
      <c r="D303" s="84"/>
      <c r="E303" s="189" t="s">
        <v>1084</v>
      </c>
      <c r="F303" s="189"/>
      <c r="G303" s="189"/>
      <c r="H303" s="189"/>
      <c r="I303" s="189"/>
      <c r="J303" s="189"/>
      <c r="K303" s="189"/>
      <c r="L303" s="189"/>
      <c r="M303" s="189"/>
      <c r="N303" s="189"/>
      <c r="O303" s="189"/>
      <c r="P303" s="111" t="s">
        <v>985</v>
      </c>
      <c r="R303" s="17"/>
      <c r="T303" s="11" t="str">
        <f>IF(OR(AND(ISBLANK(R303),OR(PR.133="Yes",PR.133="No")),AND(AND(PR.133&lt;&gt;"Yes",PR.133&lt;&gt;"No"),NOT(ISBLANK(R303)))),"R","G")</f>
        <v>G</v>
      </c>
    </row>
    <row r="304" spans="2:20" ht="15" customHeight="1" x14ac:dyDescent="0.25">
      <c r="B304" s="46" t="str">
        <f>B300&amp;"-N"</f>
        <v>FI-JR-50-N</v>
      </c>
      <c r="C304" s="46"/>
      <c r="D304" s="84"/>
      <c r="E304" s="189" t="s">
        <v>1085</v>
      </c>
      <c r="F304" s="189"/>
      <c r="G304" s="189"/>
      <c r="H304" s="189"/>
      <c r="I304" s="189"/>
      <c r="J304" s="189"/>
      <c r="K304" s="189"/>
      <c r="L304" s="189"/>
      <c r="M304" s="189"/>
      <c r="N304" s="189"/>
      <c r="O304" s="189"/>
      <c r="P304" s="111" t="s">
        <v>985</v>
      </c>
      <c r="R304" s="17"/>
      <c r="T304" s="11" t="str">
        <f>IF(OR(AND(ISBLANK(R304),OR(PR.133="Yes",PR.133="No")),AND(AND(PR.133&lt;&gt;"Yes",PR.133&lt;&gt;"No"),NOT(ISBLANK(R304)))),"R","G")</f>
        <v>G</v>
      </c>
    </row>
    <row r="305" spans="2:20" ht="27" customHeight="1" x14ac:dyDescent="0.25">
      <c r="B305" s="46" t="str">
        <f>B300&amp;"-F"</f>
        <v>FI-JR-50-F</v>
      </c>
      <c r="C305" s="46"/>
      <c r="D305" s="84"/>
      <c r="E305" s="191" t="s">
        <v>1086</v>
      </c>
      <c r="F305" s="191"/>
      <c r="G305" s="191"/>
      <c r="H305" s="191"/>
      <c r="I305" s="191"/>
      <c r="J305" s="191"/>
      <c r="K305" s="191"/>
      <c r="L305" s="191"/>
      <c r="M305" s="191"/>
      <c r="N305" s="191"/>
      <c r="O305" s="191"/>
      <c r="P305" s="111" t="s">
        <v>985</v>
      </c>
      <c r="R305" s="17"/>
      <c r="T305" s="11" t="str">
        <f>IF(OR(AND(ISBLANK(R305),OR(PR.133="Yes",PR.133="No")),AND(AND(PR.133&lt;&gt;"Yes",PR.133&lt;&gt;"No"),NOT(ISBLANK(R305)))),"R","G")</f>
        <v>G</v>
      </c>
    </row>
    <row r="306" spans="2:20" ht="9.75" customHeight="1" x14ac:dyDescent="0.25">
      <c r="B306" s="10"/>
      <c r="C306" s="10"/>
      <c r="D306" s="10"/>
      <c r="E306" s="10"/>
      <c r="F306" s="10"/>
      <c r="G306" s="10"/>
      <c r="H306" s="10"/>
      <c r="I306" s="10"/>
      <c r="J306" s="10"/>
      <c r="K306" s="10"/>
      <c r="L306" s="10"/>
      <c r="M306" s="10"/>
      <c r="N306" s="10"/>
      <c r="O306" s="10"/>
      <c r="P306" s="10"/>
      <c r="R306" s="10"/>
    </row>
    <row r="307" spans="2:20" ht="15" customHeight="1" x14ac:dyDescent="0.25">
      <c r="B307" s="87"/>
      <c r="C307" s="87"/>
      <c r="D307" s="192" t="str">
        <f>IF(R305=0,"",IF(SUM(G308:G320,K308:K320,O308:O314)=R305,"","The totals included next to each jurisdiction do not add up to "&amp;R305&amp;", please revise the figures."))</f>
        <v/>
      </c>
      <c r="E307" s="192"/>
      <c r="F307" s="192"/>
      <c r="G307" s="192"/>
      <c r="H307" s="192"/>
      <c r="I307" s="192"/>
      <c r="J307" s="192"/>
      <c r="K307" s="192"/>
      <c r="L307" s="192"/>
      <c r="M307" s="192"/>
      <c r="N307" s="192"/>
      <c r="O307" s="192"/>
      <c r="P307" s="88"/>
      <c r="R307" s="89"/>
      <c r="T307" s="11" t="str">
        <f>IF(D307="","G","R")</f>
        <v>G</v>
      </c>
    </row>
    <row r="308" spans="2:20" ht="25.5" x14ac:dyDescent="0.25">
      <c r="B308" s="90"/>
      <c r="C308" s="102" t="str">
        <f>$B$305&amp;"-"&amp;D308</f>
        <v>FI-JR-50-F-AF</v>
      </c>
      <c r="D308" s="91" t="s">
        <v>1093</v>
      </c>
      <c r="E308" s="103" t="s">
        <v>317</v>
      </c>
      <c r="F308" s="93"/>
      <c r="G308" s="118">
        <v>0</v>
      </c>
      <c r="H308" s="105" t="str">
        <f>$B$305&amp;"-"&amp;I308</f>
        <v>FI-JR-50-F-LA</v>
      </c>
      <c r="I308" s="91" t="s">
        <v>1317</v>
      </c>
      <c r="J308" s="92" t="s">
        <v>1312</v>
      </c>
      <c r="K308" s="118">
        <v>0</v>
      </c>
      <c r="L308" s="105" t="str">
        <f>$B$305&amp;"-"&amp;M308</f>
        <v>FI-JR-50-F-TZ</v>
      </c>
      <c r="M308" s="91" t="s">
        <v>1110</v>
      </c>
      <c r="N308" s="92" t="s">
        <v>526</v>
      </c>
      <c r="O308" s="117">
        <v>0</v>
      </c>
      <c r="P308" s="95"/>
      <c r="R308" s="89"/>
      <c r="T308" s="11" t="str">
        <f>IF(OR(AND(OR(ISBLANK(G308),ISBLANK(K308),ISBLANK(O308)),$R$305&gt;0),AND($R$305&lt;=0,OR(OR(G308&lt;&gt;0,K308&lt;&gt;0,O308&lt;&gt;0)))),"R","G")</f>
        <v>G</v>
      </c>
    </row>
    <row r="309" spans="2:20" x14ac:dyDescent="0.25">
      <c r="B309" s="90"/>
      <c r="C309" s="102" t="str">
        <f t="shared" ref="C309:C320" si="58">$B$305&amp;"-"&amp;D309</f>
        <v>FI-JR-50-F-DZ</v>
      </c>
      <c r="D309" s="91" t="s">
        <v>1094</v>
      </c>
      <c r="E309" s="103" t="s">
        <v>319</v>
      </c>
      <c r="F309" s="93"/>
      <c r="G309" s="118">
        <v>0</v>
      </c>
      <c r="H309" s="105" t="str">
        <f t="shared" ref="H309:H320" si="59">$B$305&amp;"-"&amp;I309</f>
        <v>FI-JR-50-F-LB</v>
      </c>
      <c r="I309" s="91" t="s">
        <v>1102</v>
      </c>
      <c r="J309" s="92" t="s">
        <v>434</v>
      </c>
      <c r="K309" s="118">
        <v>0</v>
      </c>
      <c r="L309" s="105" t="str">
        <f t="shared" ref="L309:L314" si="60">$B$305&amp;"-"&amp;M309</f>
        <v>FI-JR-50-F-TT</v>
      </c>
      <c r="M309" s="91" t="s">
        <v>1111</v>
      </c>
      <c r="N309" s="92" t="s">
        <v>532</v>
      </c>
      <c r="O309" s="117">
        <v>0</v>
      </c>
      <c r="P309" s="95"/>
      <c r="R309" s="89"/>
      <c r="T309" s="11" t="str">
        <f t="shared" ref="T309:T313" si="61">IF(OR(AND(OR(ISBLANK(G309),ISBLANK(K309),ISBLANK(O309)),$R$305&gt;0),AND($R$305&lt;=0,OR(OR(G309&lt;&gt;0,K309&lt;&gt;0,O309&lt;&gt;0)))),"R","G")</f>
        <v>G</v>
      </c>
    </row>
    <row r="310" spans="2:20" x14ac:dyDescent="0.25">
      <c r="B310" s="90"/>
      <c r="C310" s="102" t="str">
        <f t="shared" si="58"/>
        <v>FI-JR-50-F-AO</v>
      </c>
      <c r="D310" s="91" t="s">
        <v>1095</v>
      </c>
      <c r="E310" s="103" t="s">
        <v>322</v>
      </c>
      <c r="F310" s="93"/>
      <c r="G310" s="118">
        <v>0</v>
      </c>
      <c r="H310" s="105" t="str">
        <f t="shared" si="59"/>
        <v>FI-JR-50-F-ML</v>
      </c>
      <c r="I310" s="91" t="s">
        <v>1103</v>
      </c>
      <c r="J310" s="92" t="s">
        <v>447</v>
      </c>
      <c r="K310" s="118">
        <v>0</v>
      </c>
      <c r="L310" s="105" t="str">
        <f t="shared" si="60"/>
        <v>FI-JR-50-F-VU</v>
      </c>
      <c r="M310" s="91" t="s">
        <v>1112</v>
      </c>
      <c r="N310" s="92" t="s">
        <v>546</v>
      </c>
      <c r="O310" s="117">
        <v>0</v>
      </c>
      <c r="P310" s="95"/>
      <c r="R310" s="89"/>
      <c r="T310" s="11" t="str">
        <f t="shared" si="61"/>
        <v>G</v>
      </c>
    </row>
    <row r="311" spans="2:20" x14ac:dyDescent="0.25">
      <c r="B311" s="90"/>
      <c r="C311" s="102" t="str">
        <f t="shared" si="58"/>
        <v>FI-JR-50-F-BO</v>
      </c>
      <c r="D311" s="91" t="s">
        <v>1316</v>
      </c>
      <c r="E311" s="103" t="s">
        <v>342</v>
      </c>
      <c r="F311" s="93"/>
      <c r="G311" s="118">
        <v>0</v>
      </c>
      <c r="H311" s="105" t="str">
        <f t="shared" si="59"/>
        <v>FI-JR-50-F-MN</v>
      </c>
      <c r="I311" s="91" t="s">
        <v>1315</v>
      </c>
      <c r="J311" s="92" t="s">
        <v>457</v>
      </c>
      <c r="K311" s="118">
        <v>0</v>
      </c>
      <c r="L311" s="105" t="str">
        <f t="shared" si="60"/>
        <v>FI-JR-50-F-VE</v>
      </c>
      <c r="M311" s="91" t="s">
        <v>1113</v>
      </c>
      <c r="N311" s="92" t="s">
        <v>547</v>
      </c>
      <c r="O311" s="117">
        <v>0</v>
      </c>
      <c r="P311" s="95"/>
      <c r="R311" s="89"/>
      <c r="T311" s="11" t="str">
        <f t="shared" si="61"/>
        <v>G</v>
      </c>
    </row>
    <row r="312" spans="2:20" x14ac:dyDescent="0.25">
      <c r="B312" s="90"/>
      <c r="C312" s="102" t="str">
        <f t="shared" si="58"/>
        <v>FI-JR-50-F-BG</v>
      </c>
      <c r="D312" s="91" t="s">
        <v>1096</v>
      </c>
      <c r="E312" s="103" t="s">
        <v>349</v>
      </c>
      <c r="F312" s="93"/>
      <c r="G312" s="118">
        <v>0</v>
      </c>
      <c r="H312" s="105" t="str">
        <f t="shared" si="59"/>
        <v>FI-JR-50-F-MZ</v>
      </c>
      <c r="I312" s="91" t="s">
        <v>1104</v>
      </c>
      <c r="J312" s="92" t="s">
        <v>461</v>
      </c>
      <c r="K312" s="118">
        <v>0</v>
      </c>
      <c r="L312" s="105" t="str">
        <f t="shared" si="60"/>
        <v>FI-JR-50-F-VN</v>
      </c>
      <c r="M312" s="91" t="s">
        <v>1114</v>
      </c>
      <c r="N312" s="92" t="s">
        <v>1313</v>
      </c>
      <c r="O312" s="117">
        <v>0</v>
      </c>
      <c r="P312" s="95"/>
      <c r="R312" s="89"/>
      <c r="T312" s="11" t="str">
        <f t="shared" si="61"/>
        <v>G</v>
      </c>
    </row>
    <row r="313" spans="2:20" x14ac:dyDescent="0.25">
      <c r="B313" s="90"/>
      <c r="C313" s="102" t="str">
        <f t="shared" si="58"/>
        <v>FI-JR-50-F-BF</v>
      </c>
      <c r="D313" s="91" t="s">
        <v>1097</v>
      </c>
      <c r="E313" s="103" t="s">
        <v>350</v>
      </c>
      <c r="F313" s="93"/>
      <c r="G313" s="118">
        <v>0</v>
      </c>
      <c r="H313" s="105" t="str">
        <f t="shared" si="59"/>
        <v>FI-JR-50-F-MM</v>
      </c>
      <c r="I313" s="91" t="s">
        <v>1105</v>
      </c>
      <c r="J313" s="92" t="s">
        <v>462</v>
      </c>
      <c r="K313" s="118">
        <v>0</v>
      </c>
      <c r="L313" s="105" t="str">
        <f t="shared" si="60"/>
        <v>FI-JR-50-F-VI</v>
      </c>
      <c r="M313" s="91" t="s">
        <v>1319</v>
      </c>
      <c r="N313" s="92" t="s">
        <v>1314</v>
      </c>
      <c r="O313" s="117">
        <v>0</v>
      </c>
      <c r="P313" s="95"/>
      <c r="R313" s="89"/>
      <c r="T313" s="11" t="str">
        <f t="shared" si="61"/>
        <v>G</v>
      </c>
    </row>
    <row r="314" spans="2:20" x14ac:dyDescent="0.25">
      <c r="B314" s="90"/>
      <c r="C314" s="102" t="str">
        <f t="shared" si="58"/>
        <v>FI-JR-50-F-CM</v>
      </c>
      <c r="D314" s="91" t="s">
        <v>1098</v>
      </c>
      <c r="E314" s="103" t="s">
        <v>353</v>
      </c>
      <c r="F314" s="93"/>
      <c r="G314" s="118">
        <v>0</v>
      </c>
      <c r="H314" s="105" t="str">
        <f t="shared" si="59"/>
        <v>FI-JR-50-F-NA</v>
      </c>
      <c r="I314" s="91" t="s">
        <v>1106</v>
      </c>
      <c r="J314" s="92" t="s">
        <v>463</v>
      </c>
      <c r="K314" s="118">
        <v>0</v>
      </c>
      <c r="L314" s="105" t="str">
        <f t="shared" si="60"/>
        <v>FI-JR-50-F-YE</v>
      </c>
      <c r="M314" s="91" t="s">
        <v>1115</v>
      </c>
      <c r="N314" s="92" t="s">
        <v>553</v>
      </c>
      <c r="O314" s="117">
        <v>0</v>
      </c>
      <c r="P314" s="95"/>
      <c r="R314" s="89"/>
      <c r="T314" s="11" t="str">
        <f t="shared" ref="T314:T320" si="62">IF(OR(AND(OR(ISBLANK(G314),ISBLANK(K314)),$R$305&gt;0),AND($R$305&lt;=0,OR(OR(G314&lt;&gt;0,K314&lt;&gt;0)))),"R","G")</f>
        <v>G</v>
      </c>
    </row>
    <row r="315" spans="2:20" ht="38.25" x14ac:dyDescent="0.25">
      <c r="B315" s="90"/>
      <c r="C315" s="102" t="str">
        <f t="shared" si="58"/>
        <v>FI-JR-50-F-CD</v>
      </c>
      <c r="D315" s="91" t="s">
        <v>1099</v>
      </c>
      <c r="E315" s="103" t="s">
        <v>366</v>
      </c>
      <c r="F315" s="93"/>
      <c r="G315" s="118">
        <v>0</v>
      </c>
      <c r="H315" s="105" t="str">
        <f t="shared" si="59"/>
        <v>FI-JR-50-F-NP</v>
      </c>
      <c r="I315" s="91" t="s">
        <v>1318</v>
      </c>
      <c r="J315" s="92" t="s">
        <v>465</v>
      </c>
      <c r="K315" s="118">
        <v>0</v>
      </c>
      <c r="L315" s="95"/>
      <c r="M315" s="95"/>
      <c r="N315" s="95"/>
      <c r="O315" s="95"/>
      <c r="P315" s="95"/>
      <c r="R315" s="89"/>
      <c r="T315" s="11" t="str">
        <f t="shared" si="62"/>
        <v>G</v>
      </c>
    </row>
    <row r="316" spans="2:20" x14ac:dyDescent="0.25">
      <c r="B316" s="90"/>
      <c r="C316" s="102" t="str">
        <f t="shared" si="58"/>
        <v>FI-JR-50-F-CI</v>
      </c>
      <c r="D316" s="91" t="s">
        <v>1091</v>
      </c>
      <c r="E316" s="103" t="s">
        <v>369</v>
      </c>
      <c r="F316" s="93"/>
      <c r="G316" s="118">
        <v>0</v>
      </c>
      <c r="H316" s="105" t="str">
        <f t="shared" si="59"/>
        <v>FI-JR-50-F-NG</v>
      </c>
      <c r="I316" s="91" t="s">
        <v>1107</v>
      </c>
      <c r="J316" s="92" t="s">
        <v>472</v>
      </c>
      <c r="K316" s="118">
        <v>0</v>
      </c>
      <c r="L316" s="95"/>
      <c r="M316" s="95"/>
      <c r="N316" s="95"/>
      <c r="O316" s="95"/>
      <c r="P316" s="95"/>
      <c r="R316" s="89"/>
      <c r="T316" s="11" t="str">
        <f t="shared" si="62"/>
        <v>G</v>
      </c>
    </row>
    <row r="317" spans="2:20" x14ac:dyDescent="0.25">
      <c r="B317" s="90"/>
      <c r="C317" s="102" t="str">
        <f t="shared" si="58"/>
        <v>FI-JR-50-F-HT</v>
      </c>
      <c r="D317" s="91" t="s">
        <v>1100</v>
      </c>
      <c r="E317" s="103" t="s">
        <v>408</v>
      </c>
      <c r="F317" s="93"/>
      <c r="G317" s="118">
        <v>0</v>
      </c>
      <c r="H317" s="105" t="str">
        <f t="shared" si="59"/>
        <v>FI-JR-50-F-RU</v>
      </c>
      <c r="I317" s="91" t="s">
        <v>1321</v>
      </c>
      <c r="J317" s="92" t="s">
        <v>1320</v>
      </c>
      <c r="K317" s="118">
        <v>0</v>
      </c>
      <c r="L317" s="95"/>
      <c r="M317" s="95"/>
      <c r="N317" s="95"/>
      <c r="O317" s="95"/>
      <c r="P317" s="95"/>
      <c r="R317" s="89"/>
      <c r="T317" s="11" t="str">
        <f t="shared" si="62"/>
        <v>G</v>
      </c>
    </row>
    <row r="318" spans="2:20" ht="25.5" x14ac:dyDescent="0.25">
      <c r="B318" s="90"/>
      <c r="C318" s="102" t="str">
        <f t="shared" si="58"/>
        <v>FI-JR-50-F-IR</v>
      </c>
      <c r="D318" s="91" t="s">
        <v>912</v>
      </c>
      <c r="E318" s="103" t="s">
        <v>417</v>
      </c>
      <c r="F318" s="93"/>
      <c r="G318" s="118">
        <v>0</v>
      </c>
      <c r="H318" s="105" t="str">
        <f t="shared" si="59"/>
        <v>FI-JR-50-F-ZA</v>
      </c>
      <c r="I318" s="91" t="s">
        <v>1108</v>
      </c>
      <c r="J318" s="92" t="s">
        <v>513</v>
      </c>
      <c r="K318" s="118">
        <v>0</v>
      </c>
      <c r="L318" s="95"/>
      <c r="M318" s="95"/>
      <c r="N318" s="95"/>
      <c r="O318" s="95"/>
      <c r="P318" s="95"/>
      <c r="R318" s="89"/>
      <c r="T318" s="11" t="str">
        <f t="shared" si="62"/>
        <v>G</v>
      </c>
    </row>
    <row r="319" spans="2:20" x14ac:dyDescent="0.25">
      <c r="B319" s="90"/>
      <c r="C319" s="102" t="str">
        <f t="shared" si="58"/>
        <v>FI-JR-50-F-KE</v>
      </c>
      <c r="D319" s="91" t="s">
        <v>1101</v>
      </c>
      <c r="E319" s="103" t="s">
        <v>426</v>
      </c>
      <c r="F319" s="93"/>
      <c r="G319" s="118">
        <v>0</v>
      </c>
      <c r="H319" s="105" t="str">
        <f t="shared" si="59"/>
        <v>FI-JR-50-F-SS</v>
      </c>
      <c r="I319" s="91" t="s">
        <v>1089</v>
      </c>
      <c r="J319" s="92" t="s">
        <v>1088</v>
      </c>
      <c r="K319" s="117">
        <v>0</v>
      </c>
      <c r="L319" s="94"/>
      <c r="M319" s="95"/>
      <c r="N319" s="95"/>
      <c r="O319" s="95"/>
      <c r="P319" s="95"/>
      <c r="R319" s="89"/>
      <c r="T319" s="11" t="str">
        <f t="shared" si="62"/>
        <v>G</v>
      </c>
    </row>
    <row r="320" spans="2:20" ht="25.5" x14ac:dyDescent="0.25">
      <c r="B320" s="90"/>
      <c r="C320" s="102" t="str">
        <f t="shared" si="58"/>
        <v>FI-JR-50-F-KP</v>
      </c>
      <c r="D320" s="91" t="s">
        <v>1090</v>
      </c>
      <c r="E320" s="103" t="s">
        <v>428</v>
      </c>
      <c r="F320" s="96"/>
      <c r="G320" s="118">
        <v>0</v>
      </c>
      <c r="H320" s="105" t="str">
        <f t="shared" si="59"/>
        <v>FI-JR-50-F-SY</v>
      </c>
      <c r="I320" s="91" t="s">
        <v>1109</v>
      </c>
      <c r="J320" s="92" t="s">
        <v>523</v>
      </c>
      <c r="K320" s="117">
        <v>0</v>
      </c>
      <c r="L320" s="94"/>
      <c r="M320" s="95"/>
      <c r="N320" s="95"/>
      <c r="O320" s="95"/>
      <c r="P320" s="95"/>
      <c r="R320" s="89"/>
      <c r="T320" s="11" t="str">
        <f t="shared" si="62"/>
        <v>G</v>
      </c>
    </row>
    <row r="321" spans="2:20" x14ac:dyDescent="0.25">
      <c r="B321" s="90"/>
      <c r="C321" s="90"/>
      <c r="D321" s="112"/>
      <c r="E321" s="113"/>
      <c r="F321" s="95"/>
      <c r="G321" s="10"/>
      <c r="H321" s="90"/>
      <c r="I321" s="112"/>
      <c r="J321" s="113"/>
      <c r="K321" s="10"/>
      <c r="L321" s="94"/>
      <c r="M321" s="95"/>
      <c r="N321" s="95"/>
      <c r="O321" s="95"/>
      <c r="P321" s="95"/>
      <c r="R321" s="89"/>
      <c r="T321" s="11"/>
    </row>
    <row r="322" spans="2:20" ht="15" customHeight="1" x14ac:dyDescent="0.25">
      <c r="B322" s="15" t="s">
        <v>753</v>
      </c>
      <c r="D322" s="194" t="s">
        <v>1151</v>
      </c>
      <c r="E322" s="194"/>
      <c r="F322" s="194"/>
      <c r="G322" s="194"/>
      <c r="H322" s="194"/>
      <c r="I322" s="194"/>
      <c r="J322" s="194"/>
      <c r="K322" s="194"/>
      <c r="L322" s="194"/>
      <c r="M322" s="194"/>
      <c r="N322" s="194"/>
      <c r="O322" s="194"/>
      <c r="P322" s="52"/>
      <c r="R322" s="16"/>
      <c r="T322" s="11" t="str">
        <f>IF(OR(AND(ISBLANK(R322),OR(PR.133="Yes",PR.133="No")),AND(AND(PR.133&lt;&gt;"Yes",PR.133&lt;&gt;"No"),NOT(ISBLANK(R322)))),"R","G")</f>
        <v>G</v>
      </c>
    </row>
    <row r="323" spans="2:20" ht="29.25" customHeight="1" x14ac:dyDescent="0.25">
      <c r="B323" s="114" t="s">
        <v>1150</v>
      </c>
      <c r="C323" s="114"/>
      <c r="D323" s="112"/>
      <c r="E323" s="185" t="s">
        <v>1390</v>
      </c>
      <c r="F323" s="185"/>
      <c r="G323" s="185"/>
      <c r="H323" s="185"/>
      <c r="I323" s="185"/>
      <c r="J323" s="185"/>
      <c r="K323" s="185"/>
      <c r="L323" s="185"/>
      <c r="M323" s="185"/>
      <c r="N323" s="185"/>
      <c r="O323" s="185"/>
      <c r="P323" s="185"/>
      <c r="R323" s="16"/>
      <c r="T323" s="11" t="str">
        <f>IF(OR(AND(R322&lt;&gt;"Yes",NOT(ISBLANK(R323))),AND(R322="Yes",ISBLANK(R323))),"R","G")</f>
        <v>G</v>
      </c>
    </row>
    <row r="324" spans="2:20" x14ac:dyDescent="0.25">
      <c r="B324" s="90"/>
      <c r="C324" s="90"/>
      <c r="D324" s="112"/>
      <c r="E324" s="10"/>
      <c r="F324" s="10"/>
      <c r="G324" s="10"/>
      <c r="H324" s="10"/>
      <c r="I324" s="10"/>
      <c r="J324" s="10"/>
      <c r="K324" s="10"/>
      <c r="L324" s="10"/>
      <c r="M324" s="10"/>
      <c r="N324" s="10"/>
      <c r="O324" s="95"/>
      <c r="P324" s="95"/>
      <c r="R324" s="89"/>
      <c r="T324" s="11"/>
    </row>
    <row r="325" spans="2:20" ht="37.5" customHeight="1" x14ac:dyDescent="0.25">
      <c r="B325" s="15" t="s">
        <v>754</v>
      </c>
      <c r="D325" s="186" t="s">
        <v>1152</v>
      </c>
      <c r="E325" s="186"/>
      <c r="F325" s="186"/>
      <c r="G325" s="186"/>
      <c r="H325" s="186"/>
      <c r="I325" s="186"/>
      <c r="J325" s="186"/>
      <c r="K325" s="186"/>
      <c r="L325" s="186"/>
      <c r="M325" s="186"/>
      <c r="N325" s="186"/>
      <c r="O325" s="186"/>
      <c r="P325" s="52"/>
      <c r="R325" s="10"/>
    </row>
    <row r="326" spans="2:20" ht="52.5" customHeight="1" x14ac:dyDescent="0.25">
      <c r="D326" s="190" t="s">
        <v>1349</v>
      </c>
      <c r="E326" s="190"/>
      <c r="F326" s="190"/>
      <c r="G326" s="190"/>
      <c r="H326" s="190"/>
      <c r="I326" s="190"/>
      <c r="J326" s="190"/>
      <c r="K326" s="190"/>
      <c r="L326" s="190"/>
      <c r="M326" s="190"/>
      <c r="N326" s="190"/>
      <c r="O326" s="190"/>
      <c r="P326" s="190"/>
      <c r="R326" s="101"/>
    </row>
    <row r="327" spans="2:20" ht="15" customHeight="1" x14ac:dyDescent="0.25">
      <c r="B327" s="46" t="str">
        <f>B325&amp;"-M"</f>
        <v>FI-JR-39-M</v>
      </c>
      <c r="C327" s="46"/>
      <c r="D327" s="84"/>
      <c r="E327" s="189" t="s">
        <v>448</v>
      </c>
      <c r="F327" s="189"/>
      <c r="G327" s="189"/>
      <c r="H327" s="189"/>
      <c r="I327" s="189"/>
      <c r="J327" s="189"/>
      <c r="K327" s="189"/>
      <c r="L327" s="189"/>
      <c r="M327" s="189"/>
      <c r="N327" s="189"/>
      <c r="O327" s="189"/>
      <c r="P327" s="52"/>
      <c r="R327" s="67"/>
      <c r="T327" s="11" t="str">
        <f>IF(OR(AND(ISBLANK(R327),CR.55&gt;0),AND(CR.55&lt;=0,NOT(ISBLANK(R327)))),"R","G")</f>
        <v>G</v>
      </c>
    </row>
    <row r="328" spans="2:20" ht="15" customHeight="1" x14ac:dyDescent="0.25">
      <c r="B328" s="46" t="str">
        <f>B325&amp;"-E"</f>
        <v>FI-JR-39-E</v>
      </c>
      <c r="C328" s="46"/>
      <c r="D328" s="84"/>
      <c r="E328" s="189" t="s">
        <v>1084</v>
      </c>
      <c r="F328" s="189"/>
      <c r="G328" s="189"/>
      <c r="H328" s="189"/>
      <c r="I328" s="189"/>
      <c r="J328" s="189"/>
      <c r="K328" s="189"/>
      <c r="L328" s="189"/>
      <c r="M328" s="189"/>
      <c r="N328" s="189"/>
      <c r="O328" s="189"/>
      <c r="P328" s="52"/>
      <c r="R328" s="67"/>
      <c r="T328" s="11" t="str">
        <f>IF(OR(AND(ISBLANK(R328),CR.55&gt;0),AND(CR.55&lt;=0,NOT(ISBLANK(R328)))),"R","G")</f>
        <v>G</v>
      </c>
    </row>
    <row r="329" spans="2:20" ht="15" customHeight="1" x14ac:dyDescent="0.25">
      <c r="B329" s="46" t="str">
        <f>B325&amp;"-N"</f>
        <v>FI-JR-39-N</v>
      </c>
      <c r="C329" s="46"/>
      <c r="D329" s="84"/>
      <c r="E329" s="189" t="s">
        <v>1085</v>
      </c>
      <c r="F329" s="189"/>
      <c r="G329" s="189"/>
      <c r="H329" s="189"/>
      <c r="I329" s="189"/>
      <c r="J329" s="189"/>
      <c r="K329" s="189"/>
      <c r="L329" s="189"/>
      <c r="M329" s="189"/>
      <c r="N329" s="189"/>
      <c r="O329" s="189"/>
      <c r="P329" s="52"/>
      <c r="R329" s="67"/>
      <c r="T329" s="11" t="str">
        <f>IF(OR(AND(ISBLANK(R329),CR.55&gt;0),AND(CR.55&lt;=0,NOT(ISBLANK(R329)))),"R","G")</f>
        <v>G</v>
      </c>
    </row>
    <row r="330" spans="2:20" ht="27" customHeight="1" x14ac:dyDescent="0.25">
      <c r="B330" s="46" t="str">
        <f>B325&amp;"-F"</f>
        <v>FI-JR-39-F</v>
      </c>
      <c r="C330" s="46"/>
      <c r="D330" s="84"/>
      <c r="E330" s="191" t="s">
        <v>1086</v>
      </c>
      <c r="F330" s="191"/>
      <c r="G330" s="191"/>
      <c r="H330" s="191"/>
      <c r="I330" s="191"/>
      <c r="J330" s="191"/>
      <c r="K330" s="191"/>
      <c r="L330" s="191"/>
      <c r="M330" s="191"/>
      <c r="N330" s="191"/>
      <c r="O330" s="191"/>
      <c r="P330" s="86"/>
      <c r="R330" s="67"/>
      <c r="T330" s="11" t="str">
        <f>IF(OR(AND(ISBLANK(R330),CR.55&gt;0),AND(CR.55&lt;=0,NOT(ISBLANK(R330)))),"R","G")</f>
        <v>G</v>
      </c>
    </row>
    <row r="331" spans="2:20" ht="9.75" customHeight="1" x14ac:dyDescent="0.25">
      <c r="B331" s="10"/>
      <c r="C331" s="10"/>
      <c r="D331" s="10"/>
      <c r="E331" s="10"/>
      <c r="F331" s="10"/>
      <c r="G331" s="10"/>
      <c r="H331" s="10"/>
      <c r="I331" s="10"/>
      <c r="J331" s="10"/>
      <c r="K331" s="10"/>
      <c r="L331" s="10"/>
      <c r="M331" s="10"/>
      <c r="N331" s="10"/>
      <c r="O331" s="10"/>
      <c r="P331" s="10"/>
      <c r="R331" s="10"/>
    </row>
    <row r="332" spans="2:20" ht="15" customHeight="1" x14ac:dyDescent="0.25">
      <c r="B332" s="87"/>
      <c r="C332" s="87"/>
      <c r="D332" s="192" t="str">
        <f>IF(R330=0,"",IF(SUM(G333:G345,K333:K345,O333:O339)=R330,"","The totals included next to each jurisdiction do not add up to "&amp;R330&amp;", please revise the figures."))</f>
        <v/>
      </c>
      <c r="E332" s="192"/>
      <c r="F332" s="192"/>
      <c r="G332" s="192"/>
      <c r="H332" s="192"/>
      <c r="I332" s="192"/>
      <c r="J332" s="192"/>
      <c r="K332" s="192"/>
      <c r="L332" s="192"/>
      <c r="M332" s="192"/>
      <c r="N332" s="192"/>
      <c r="O332" s="192"/>
      <c r="P332" s="88"/>
      <c r="R332" s="89"/>
      <c r="T332" s="11" t="str">
        <f>IF(D332="","G","R")</f>
        <v>G</v>
      </c>
    </row>
    <row r="333" spans="2:20" ht="25.5" x14ac:dyDescent="0.25">
      <c r="B333" s="90"/>
      <c r="C333" s="102" t="str">
        <f>$B$330&amp;"-"&amp;D333</f>
        <v>FI-JR-39-F-AF</v>
      </c>
      <c r="D333" s="91" t="s">
        <v>1093</v>
      </c>
      <c r="E333" s="103" t="s">
        <v>317</v>
      </c>
      <c r="F333" s="93"/>
      <c r="G333" s="116">
        <v>0</v>
      </c>
      <c r="H333" s="105" t="str">
        <f>$B$330&amp;"-"&amp;I333</f>
        <v>FI-JR-39-F-LA</v>
      </c>
      <c r="I333" s="91" t="s">
        <v>1317</v>
      </c>
      <c r="J333" s="92" t="s">
        <v>1312</v>
      </c>
      <c r="K333" s="116">
        <v>0</v>
      </c>
      <c r="L333" s="105" t="str">
        <f>$B$330&amp;"-"&amp;M333</f>
        <v>FI-JR-39-F-TZ</v>
      </c>
      <c r="M333" s="91" t="s">
        <v>1110</v>
      </c>
      <c r="N333" s="92" t="s">
        <v>526</v>
      </c>
      <c r="O333" s="99">
        <v>0</v>
      </c>
      <c r="P333" s="95"/>
      <c r="R333" s="89"/>
      <c r="T333" s="11" t="str">
        <f>IF(OR(AND(OR(ISBLANK(G333),ISBLANK(K333),ISBLANK(O333)),$R$330&gt;0),AND($R$330&lt;=0,OR(OR(G333&lt;&gt;0,K333&lt;&gt;0,O333&lt;&gt;0)))),"R","G")</f>
        <v>G</v>
      </c>
    </row>
    <row r="334" spans="2:20" x14ac:dyDescent="0.25">
      <c r="B334" s="90"/>
      <c r="C334" s="102" t="str">
        <f t="shared" ref="C334:C345" si="63">$B$330&amp;"-"&amp;D334</f>
        <v>FI-JR-39-F-DZ</v>
      </c>
      <c r="D334" s="91" t="s">
        <v>1094</v>
      </c>
      <c r="E334" s="103" t="s">
        <v>319</v>
      </c>
      <c r="F334" s="93"/>
      <c r="G334" s="116">
        <v>0</v>
      </c>
      <c r="H334" s="105" t="str">
        <f t="shared" ref="H334:H345" si="64">$B$330&amp;"-"&amp;I334</f>
        <v>FI-JR-39-F-LB</v>
      </c>
      <c r="I334" s="91" t="s">
        <v>1102</v>
      </c>
      <c r="J334" s="92" t="s">
        <v>434</v>
      </c>
      <c r="K334" s="116">
        <v>0</v>
      </c>
      <c r="L334" s="105" t="str">
        <f t="shared" ref="L334:L339" si="65">$B$330&amp;"-"&amp;M334</f>
        <v>FI-JR-39-F-TT</v>
      </c>
      <c r="M334" s="91" t="s">
        <v>1111</v>
      </c>
      <c r="N334" s="92" t="s">
        <v>532</v>
      </c>
      <c r="O334" s="99">
        <v>0</v>
      </c>
      <c r="P334" s="95"/>
      <c r="R334" s="89"/>
      <c r="T334" s="11" t="str">
        <f t="shared" ref="T334:T339" si="66">IF(OR(AND(OR(ISBLANK(G334),ISBLANK(K334),ISBLANK(O334)),$R$330&gt;0),AND($R$330&lt;=0,OR(OR(G334&lt;&gt;0,K334&lt;&gt;0,O334&lt;&gt;0)))),"R","G")</f>
        <v>G</v>
      </c>
    </row>
    <row r="335" spans="2:20" x14ac:dyDescent="0.25">
      <c r="B335" s="90"/>
      <c r="C335" s="102" t="str">
        <f t="shared" si="63"/>
        <v>FI-JR-39-F-AO</v>
      </c>
      <c r="D335" s="91" t="s">
        <v>1095</v>
      </c>
      <c r="E335" s="103" t="s">
        <v>322</v>
      </c>
      <c r="F335" s="93"/>
      <c r="G335" s="116">
        <v>0</v>
      </c>
      <c r="H335" s="105" t="str">
        <f t="shared" si="64"/>
        <v>FI-JR-39-F-ML</v>
      </c>
      <c r="I335" s="91" t="s">
        <v>1103</v>
      </c>
      <c r="J335" s="92" t="s">
        <v>447</v>
      </c>
      <c r="K335" s="116">
        <v>0</v>
      </c>
      <c r="L335" s="105" t="str">
        <f t="shared" si="65"/>
        <v>FI-JR-39-F-VU</v>
      </c>
      <c r="M335" s="91" t="s">
        <v>1112</v>
      </c>
      <c r="N335" s="92" t="s">
        <v>546</v>
      </c>
      <c r="O335" s="99">
        <v>0</v>
      </c>
      <c r="P335" s="95"/>
      <c r="R335" s="89"/>
      <c r="T335" s="11" t="str">
        <f t="shared" si="66"/>
        <v>G</v>
      </c>
    </row>
    <row r="336" spans="2:20" x14ac:dyDescent="0.25">
      <c r="B336" s="90"/>
      <c r="C336" s="102" t="str">
        <f t="shared" si="63"/>
        <v>FI-JR-39-F-BO</v>
      </c>
      <c r="D336" s="91" t="s">
        <v>1316</v>
      </c>
      <c r="E336" s="103" t="s">
        <v>342</v>
      </c>
      <c r="F336" s="93"/>
      <c r="G336" s="116">
        <v>0</v>
      </c>
      <c r="H336" s="105" t="str">
        <f t="shared" si="64"/>
        <v>FI-JR-39-F-MN</v>
      </c>
      <c r="I336" s="91" t="s">
        <v>1315</v>
      </c>
      <c r="J336" s="92" t="s">
        <v>457</v>
      </c>
      <c r="K336" s="116">
        <v>0</v>
      </c>
      <c r="L336" s="105" t="str">
        <f t="shared" si="65"/>
        <v>FI-JR-39-F-VE</v>
      </c>
      <c r="M336" s="91" t="s">
        <v>1113</v>
      </c>
      <c r="N336" s="92" t="s">
        <v>547</v>
      </c>
      <c r="O336" s="99">
        <v>0</v>
      </c>
      <c r="P336" s="95"/>
      <c r="R336" s="89"/>
      <c r="T336" s="11" t="str">
        <f t="shared" si="66"/>
        <v>G</v>
      </c>
    </row>
    <row r="337" spans="2:20" x14ac:dyDescent="0.25">
      <c r="B337" s="90"/>
      <c r="C337" s="102" t="str">
        <f t="shared" si="63"/>
        <v>FI-JR-39-F-BG</v>
      </c>
      <c r="D337" s="91" t="s">
        <v>1096</v>
      </c>
      <c r="E337" s="103" t="s">
        <v>349</v>
      </c>
      <c r="F337" s="93"/>
      <c r="G337" s="116">
        <v>0</v>
      </c>
      <c r="H337" s="105" t="str">
        <f t="shared" si="64"/>
        <v>FI-JR-39-F-MZ</v>
      </c>
      <c r="I337" s="91" t="s">
        <v>1104</v>
      </c>
      <c r="J337" s="92" t="s">
        <v>461</v>
      </c>
      <c r="K337" s="116">
        <v>0</v>
      </c>
      <c r="L337" s="105" t="str">
        <f t="shared" si="65"/>
        <v>FI-JR-39-F-VN</v>
      </c>
      <c r="M337" s="91" t="s">
        <v>1114</v>
      </c>
      <c r="N337" s="92" t="s">
        <v>1313</v>
      </c>
      <c r="O337" s="99">
        <v>0</v>
      </c>
      <c r="P337" s="95"/>
      <c r="R337" s="89"/>
      <c r="T337" s="11" t="str">
        <f t="shared" si="66"/>
        <v>G</v>
      </c>
    </row>
    <row r="338" spans="2:20" x14ac:dyDescent="0.25">
      <c r="B338" s="90"/>
      <c r="C338" s="102" t="str">
        <f t="shared" si="63"/>
        <v>FI-JR-39-F-BF</v>
      </c>
      <c r="D338" s="91" t="s">
        <v>1097</v>
      </c>
      <c r="E338" s="103" t="s">
        <v>350</v>
      </c>
      <c r="F338" s="93"/>
      <c r="G338" s="116">
        <v>0</v>
      </c>
      <c r="H338" s="105" t="str">
        <f t="shared" si="64"/>
        <v>FI-JR-39-F-MM</v>
      </c>
      <c r="I338" s="91" t="s">
        <v>1105</v>
      </c>
      <c r="J338" s="92" t="s">
        <v>462</v>
      </c>
      <c r="K338" s="116">
        <v>0</v>
      </c>
      <c r="L338" s="105" t="str">
        <f t="shared" si="65"/>
        <v>FI-JR-39-F-VI</v>
      </c>
      <c r="M338" s="91" t="s">
        <v>1319</v>
      </c>
      <c r="N338" s="92" t="s">
        <v>1314</v>
      </c>
      <c r="O338" s="99">
        <v>0</v>
      </c>
      <c r="P338" s="95"/>
      <c r="R338" s="89"/>
      <c r="T338" s="11" t="str">
        <f t="shared" si="66"/>
        <v>G</v>
      </c>
    </row>
    <row r="339" spans="2:20" x14ac:dyDescent="0.25">
      <c r="B339" s="90"/>
      <c r="C339" s="102" t="str">
        <f t="shared" si="63"/>
        <v>FI-JR-39-F-CM</v>
      </c>
      <c r="D339" s="91" t="s">
        <v>1098</v>
      </c>
      <c r="E339" s="103" t="s">
        <v>353</v>
      </c>
      <c r="F339" s="93"/>
      <c r="G339" s="116">
        <v>0</v>
      </c>
      <c r="H339" s="105" t="str">
        <f t="shared" si="64"/>
        <v>FI-JR-39-F-NA</v>
      </c>
      <c r="I339" s="91" t="s">
        <v>1106</v>
      </c>
      <c r="J339" s="92" t="s">
        <v>463</v>
      </c>
      <c r="K339" s="116">
        <v>0</v>
      </c>
      <c r="L339" s="105" t="str">
        <f t="shared" si="65"/>
        <v>FI-JR-39-F-YE</v>
      </c>
      <c r="M339" s="91" t="s">
        <v>1115</v>
      </c>
      <c r="N339" s="92" t="s">
        <v>553</v>
      </c>
      <c r="O339" s="99">
        <v>0</v>
      </c>
      <c r="P339" s="95"/>
      <c r="R339" s="89"/>
      <c r="T339" s="11" t="str">
        <f t="shared" si="66"/>
        <v>G</v>
      </c>
    </row>
    <row r="340" spans="2:20" ht="38.25" x14ac:dyDescent="0.25">
      <c r="B340" s="90"/>
      <c r="C340" s="102" t="str">
        <f t="shared" si="63"/>
        <v>FI-JR-39-F-CD</v>
      </c>
      <c r="D340" s="91" t="s">
        <v>1099</v>
      </c>
      <c r="E340" s="103" t="s">
        <v>366</v>
      </c>
      <c r="F340" s="93"/>
      <c r="G340" s="116">
        <v>0</v>
      </c>
      <c r="H340" s="105" t="str">
        <f t="shared" si="64"/>
        <v>FI-JR-39-F-NP</v>
      </c>
      <c r="I340" s="91" t="s">
        <v>1318</v>
      </c>
      <c r="J340" s="92" t="s">
        <v>465</v>
      </c>
      <c r="K340" s="116">
        <v>0</v>
      </c>
      <c r="L340" s="95"/>
      <c r="M340" s="95"/>
      <c r="N340" s="95"/>
      <c r="O340" s="95"/>
      <c r="P340" s="95"/>
      <c r="R340" s="89"/>
      <c r="T340" s="11" t="str">
        <f t="shared" ref="T340:T345" si="67">IF(OR(AND(OR(ISBLANK(G340),ISBLANK(K340)),$R$330&gt;0),AND($R$330&lt;=0,OR(OR(G340&lt;&gt;0,K340&lt;&gt;0)))),"R","G")</f>
        <v>G</v>
      </c>
    </row>
    <row r="341" spans="2:20" x14ac:dyDescent="0.25">
      <c r="B341" s="90"/>
      <c r="C341" s="102" t="str">
        <f t="shared" si="63"/>
        <v>FI-JR-39-F-CI</v>
      </c>
      <c r="D341" s="91" t="s">
        <v>1091</v>
      </c>
      <c r="E341" s="103" t="s">
        <v>369</v>
      </c>
      <c r="F341" s="93"/>
      <c r="G341" s="116">
        <v>0</v>
      </c>
      <c r="H341" s="105" t="str">
        <f t="shared" si="64"/>
        <v>FI-JR-39-F-NG</v>
      </c>
      <c r="I341" s="91" t="s">
        <v>1107</v>
      </c>
      <c r="J341" s="92" t="s">
        <v>472</v>
      </c>
      <c r="K341" s="116">
        <v>0</v>
      </c>
      <c r="L341" s="95"/>
      <c r="M341" s="95"/>
      <c r="N341" s="95"/>
      <c r="O341" s="95"/>
      <c r="P341" s="95"/>
      <c r="R341" s="89"/>
      <c r="T341" s="11" t="str">
        <f t="shared" si="67"/>
        <v>G</v>
      </c>
    </row>
    <row r="342" spans="2:20" x14ac:dyDescent="0.25">
      <c r="B342" s="90"/>
      <c r="C342" s="102" t="str">
        <f t="shared" si="63"/>
        <v>FI-JR-39-F-HT</v>
      </c>
      <c r="D342" s="91" t="s">
        <v>1100</v>
      </c>
      <c r="E342" s="103" t="s">
        <v>408</v>
      </c>
      <c r="F342" s="93"/>
      <c r="G342" s="116">
        <v>0</v>
      </c>
      <c r="H342" s="105" t="str">
        <f t="shared" si="64"/>
        <v>FI-JR-39-F-RU</v>
      </c>
      <c r="I342" s="91" t="s">
        <v>1321</v>
      </c>
      <c r="J342" s="92" t="s">
        <v>1320</v>
      </c>
      <c r="K342" s="116">
        <v>0</v>
      </c>
      <c r="L342" s="95"/>
      <c r="M342" s="95"/>
      <c r="N342" s="95"/>
      <c r="O342" s="95"/>
      <c r="P342" s="95"/>
      <c r="R342" s="89"/>
      <c r="T342" s="11" t="str">
        <f t="shared" si="67"/>
        <v>G</v>
      </c>
    </row>
    <row r="343" spans="2:20" ht="25.5" x14ac:dyDescent="0.25">
      <c r="B343" s="90"/>
      <c r="C343" s="102" t="str">
        <f t="shared" si="63"/>
        <v>FI-JR-39-F-IR</v>
      </c>
      <c r="D343" s="91" t="s">
        <v>912</v>
      </c>
      <c r="E343" s="103" t="s">
        <v>417</v>
      </c>
      <c r="F343" s="93"/>
      <c r="G343" s="116">
        <v>0</v>
      </c>
      <c r="H343" s="105" t="str">
        <f t="shared" si="64"/>
        <v>FI-JR-39-F-ZA</v>
      </c>
      <c r="I343" s="91" t="s">
        <v>1108</v>
      </c>
      <c r="J343" s="92" t="s">
        <v>513</v>
      </c>
      <c r="K343" s="116">
        <v>0</v>
      </c>
      <c r="L343" s="95"/>
      <c r="M343" s="95"/>
      <c r="N343" s="95"/>
      <c r="O343" s="95"/>
      <c r="P343" s="95"/>
      <c r="R343" s="89"/>
      <c r="T343" s="11" t="str">
        <f t="shared" si="67"/>
        <v>G</v>
      </c>
    </row>
    <row r="344" spans="2:20" x14ac:dyDescent="0.25">
      <c r="B344" s="90"/>
      <c r="C344" s="102" t="str">
        <f t="shared" si="63"/>
        <v>FI-JR-39-F-KE</v>
      </c>
      <c r="D344" s="91" t="s">
        <v>1101</v>
      </c>
      <c r="E344" s="103" t="s">
        <v>426</v>
      </c>
      <c r="F344" s="93"/>
      <c r="G344" s="116">
        <v>0</v>
      </c>
      <c r="H344" s="105" t="str">
        <f t="shared" si="64"/>
        <v>FI-JR-39-F-SS</v>
      </c>
      <c r="I344" s="91" t="s">
        <v>1089</v>
      </c>
      <c r="J344" s="92" t="s">
        <v>1088</v>
      </c>
      <c r="K344" s="99">
        <v>0</v>
      </c>
      <c r="L344" s="95"/>
      <c r="M344" s="95"/>
      <c r="N344" s="95"/>
      <c r="O344" s="95"/>
      <c r="P344" s="95"/>
      <c r="R344" s="89"/>
      <c r="T344" s="11" t="str">
        <f t="shared" si="67"/>
        <v>G</v>
      </c>
    </row>
    <row r="345" spans="2:20" ht="25.5" x14ac:dyDescent="0.25">
      <c r="B345" s="90"/>
      <c r="C345" s="102" t="str">
        <f t="shared" si="63"/>
        <v>FI-JR-39-F-KP</v>
      </c>
      <c r="D345" s="91" t="s">
        <v>1090</v>
      </c>
      <c r="E345" s="103" t="s">
        <v>428</v>
      </c>
      <c r="F345" s="96"/>
      <c r="G345" s="116">
        <v>0</v>
      </c>
      <c r="H345" s="105" t="str">
        <f t="shared" si="64"/>
        <v>FI-JR-39-F-SY</v>
      </c>
      <c r="I345" s="91" t="s">
        <v>1109</v>
      </c>
      <c r="J345" s="92" t="s">
        <v>523</v>
      </c>
      <c r="K345" s="99">
        <v>0</v>
      </c>
      <c r="L345" s="94"/>
      <c r="M345" s="95"/>
      <c r="N345" s="95"/>
      <c r="O345" s="95"/>
      <c r="P345" s="95"/>
      <c r="R345" s="89"/>
      <c r="T345" s="11" t="str">
        <f t="shared" si="67"/>
        <v>G</v>
      </c>
    </row>
    <row r="346" spans="2:20" x14ac:dyDescent="0.25">
      <c r="B346" s="90"/>
      <c r="C346" s="90"/>
      <c r="D346" s="112"/>
      <c r="E346" s="113"/>
      <c r="F346" s="95"/>
      <c r="G346" s="10"/>
      <c r="H346" s="90"/>
      <c r="I346" s="112"/>
      <c r="J346" s="113"/>
      <c r="K346" s="10"/>
      <c r="L346" s="94"/>
      <c r="M346" s="95"/>
      <c r="N346" s="95"/>
      <c r="O346" s="95"/>
      <c r="P346" s="95"/>
      <c r="R346" s="89"/>
      <c r="T346" s="11"/>
    </row>
    <row r="347" spans="2:20" ht="37.5" customHeight="1" x14ac:dyDescent="0.25">
      <c r="B347" s="15" t="s">
        <v>755</v>
      </c>
      <c r="D347" s="186" t="s">
        <v>1153</v>
      </c>
      <c r="E347" s="186"/>
      <c r="F347" s="186"/>
      <c r="G347" s="186"/>
      <c r="H347" s="186"/>
      <c r="I347" s="186"/>
      <c r="J347" s="186"/>
      <c r="K347" s="186"/>
      <c r="L347" s="186"/>
      <c r="M347" s="186"/>
      <c r="N347" s="186"/>
      <c r="O347" s="186"/>
      <c r="P347" s="52"/>
      <c r="R347" s="10"/>
    </row>
    <row r="348" spans="2:20" ht="52.5" customHeight="1" x14ac:dyDescent="0.25">
      <c r="D348" s="190" t="s">
        <v>1349</v>
      </c>
      <c r="E348" s="190"/>
      <c r="F348" s="190"/>
      <c r="G348" s="190"/>
      <c r="H348" s="190"/>
      <c r="I348" s="190"/>
      <c r="J348" s="190"/>
      <c r="K348" s="190"/>
      <c r="L348" s="190"/>
      <c r="M348" s="190"/>
      <c r="N348" s="190"/>
      <c r="O348" s="190"/>
      <c r="P348" s="190"/>
      <c r="R348" s="101"/>
    </row>
    <row r="349" spans="2:20" ht="15" customHeight="1" x14ac:dyDescent="0.25">
      <c r="B349" s="46" t="str">
        <f>B347&amp;"-M"</f>
        <v>FI-JR-40-M</v>
      </c>
      <c r="C349" s="46"/>
      <c r="D349" s="84"/>
      <c r="E349" s="189" t="s">
        <v>448</v>
      </c>
      <c r="F349" s="189"/>
      <c r="G349" s="189"/>
      <c r="H349" s="189"/>
      <c r="I349" s="189"/>
      <c r="J349" s="189"/>
      <c r="K349" s="189"/>
      <c r="L349" s="189"/>
      <c r="M349" s="189"/>
      <c r="N349" s="189"/>
      <c r="O349" s="189"/>
      <c r="P349" s="52"/>
      <c r="R349" s="67"/>
      <c r="T349" s="11" t="str">
        <f>IF(OR(AND(ISBLANK(R349),CR.56&gt;0),AND(CR.56&lt;=0,NOT(ISBLANK(R349)))),"R","G")</f>
        <v>G</v>
      </c>
    </row>
    <row r="350" spans="2:20" ht="15" customHeight="1" x14ac:dyDescent="0.25">
      <c r="B350" s="46" t="str">
        <f>B347&amp;"-E"</f>
        <v>FI-JR-40-E</v>
      </c>
      <c r="C350" s="46"/>
      <c r="D350" s="84"/>
      <c r="E350" s="189" t="s">
        <v>1084</v>
      </c>
      <c r="F350" s="189"/>
      <c r="G350" s="189"/>
      <c r="H350" s="189"/>
      <c r="I350" s="189"/>
      <c r="J350" s="189"/>
      <c r="K350" s="189"/>
      <c r="L350" s="189"/>
      <c r="M350" s="189"/>
      <c r="N350" s="189"/>
      <c r="O350" s="189"/>
      <c r="P350" s="52"/>
      <c r="R350" s="67"/>
      <c r="T350" s="11" t="str">
        <f>IF(OR(AND(ISBLANK(R350),CR.56&gt;0),AND(CR.56&lt;=0,NOT(ISBLANK(R350)))),"R","G")</f>
        <v>G</v>
      </c>
    </row>
    <row r="351" spans="2:20" ht="15" customHeight="1" x14ac:dyDescent="0.25">
      <c r="B351" s="46" t="str">
        <f>B347&amp;"-N"</f>
        <v>FI-JR-40-N</v>
      </c>
      <c r="C351" s="46"/>
      <c r="D351" s="84"/>
      <c r="E351" s="189" t="s">
        <v>1085</v>
      </c>
      <c r="F351" s="189"/>
      <c r="G351" s="189"/>
      <c r="H351" s="189"/>
      <c r="I351" s="189"/>
      <c r="J351" s="189"/>
      <c r="K351" s="189"/>
      <c r="L351" s="189"/>
      <c r="M351" s="189"/>
      <c r="N351" s="189"/>
      <c r="O351" s="189"/>
      <c r="P351" s="52"/>
      <c r="R351" s="67"/>
      <c r="T351" s="11" t="str">
        <f>IF(OR(AND(ISBLANK(R351),CR.56&gt;0),AND(CR.56&lt;=0,NOT(ISBLANK(R351)))),"R","G")</f>
        <v>G</v>
      </c>
    </row>
    <row r="352" spans="2:20" ht="27" customHeight="1" x14ac:dyDescent="0.25">
      <c r="B352" s="46" t="str">
        <f>B347&amp;"-F"</f>
        <v>FI-JR-40-F</v>
      </c>
      <c r="C352" s="46"/>
      <c r="D352" s="84"/>
      <c r="E352" s="191" t="s">
        <v>1086</v>
      </c>
      <c r="F352" s="191"/>
      <c r="G352" s="191"/>
      <c r="H352" s="191"/>
      <c r="I352" s="191"/>
      <c r="J352" s="191"/>
      <c r="K352" s="191"/>
      <c r="L352" s="191"/>
      <c r="M352" s="191"/>
      <c r="N352" s="191"/>
      <c r="O352" s="191"/>
      <c r="P352" s="86"/>
      <c r="R352" s="67"/>
      <c r="T352" s="11" t="str">
        <f>IF(OR(AND(ISBLANK(R352),CR.56&gt;0),AND(CR.56&lt;=0,NOT(ISBLANK(R352)))),"R","G")</f>
        <v>G</v>
      </c>
    </row>
    <row r="353" spans="2:20" ht="9.75" customHeight="1" x14ac:dyDescent="0.25">
      <c r="B353" s="10"/>
      <c r="C353" s="10"/>
      <c r="D353" s="10"/>
      <c r="E353" s="10"/>
      <c r="F353" s="10"/>
      <c r="G353" s="10"/>
      <c r="H353" s="10"/>
      <c r="I353" s="10"/>
      <c r="J353" s="10"/>
      <c r="K353" s="10"/>
      <c r="L353" s="10"/>
      <c r="M353" s="10"/>
      <c r="N353" s="10"/>
      <c r="O353" s="10"/>
      <c r="P353" s="10"/>
      <c r="R353" s="10"/>
    </row>
    <row r="354" spans="2:20" ht="15" customHeight="1" x14ac:dyDescent="0.25">
      <c r="B354" s="87"/>
      <c r="C354" s="87"/>
      <c r="D354" s="192" t="str">
        <f>IF(R352=0,"",IF(SUM(G355:G367,K355:K367,O355:O361)=R352,"","The totals included next to each jurisdiction do not add up to "&amp;R352&amp;", please revise the figures."))</f>
        <v/>
      </c>
      <c r="E354" s="192"/>
      <c r="F354" s="192"/>
      <c r="G354" s="192"/>
      <c r="H354" s="192"/>
      <c r="I354" s="192"/>
      <c r="J354" s="192"/>
      <c r="K354" s="192"/>
      <c r="L354" s="192"/>
      <c r="M354" s="192"/>
      <c r="N354" s="192"/>
      <c r="O354" s="192"/>
      <c r="P354" s="88"/>
      <c r="R354" s="89"/>
      <c r="T354" s="11" t="str">
        <f>IF(D354="","G","R")</f>
        <v>G</v>
      </c>
    </row>
    <row r="355" spans="2:20" ht="25.5" x14ac:dyDescent="0.25">
      <c r="B355" s="90"/>
      <c r="C355" s="102" t="str">
        <f>$B$352&amp;"-"&amp;D355</f>
        <v>FI-JR-40-F-AF</v>
      </c>
      <c r="D355" s="91" t="s">
        <v>1093</v>
      </c>
      <c r="E355" s="103" t="s">
        <v>317</v>
      </c>
      <c r="F355" s="93"/>
      <c r="G355" s="116">
        <v>0</v>
      </c>
      <c r="H355" s="105" t="str">
        <f>$B$352&amp;"-"&amp;I355</f>
        <v>FI-JR-40-F-LA</v>
      </c>
      <c r="I355" s="91" t="s">
        <v>1317</v>
      </c>
      <c r="J355" s="92" t="s">
        <v>1312</v>
      </c>
      <c r="K355" s="116">
        <v>0</v>
      </c>
      <c r="L355" s="105" t="str">
        <f>$B$352&amp;"-"&amp;M355</f>
        <v>FI-JR-40-F-TZ</v>
      </c>
      <c r="M355" s="91" t="s">
        <v>1110</v>
      </c>
      <c r="N355" s="92" t="s">
        <v>526</v>
      </c>
      <c r="O355" s="99">
        <v>0</v>
      </c>
      <c r="P355" s="95"/>
      <c r="R355" s="89"/>
      <c r="T355" s="11" t="str">
        <f>IF(OR(AND(OR(ISBLANK(G355),ISBLANK(K355),ISBLANK(O355)),$R$352&gt;0),AND($R$352&lt;=0,OR(OR(G355&lt;&gt;0,K355&lt;&gt;0,O355&lt;&gt;0)))),"R","G")</f>
        <v>G</v>
      </c>
    </row>
    <row r="356" spans="2:20" x14ac:dyDescent="0.25">
      <c r="B356" s="90"/>
      <c r="C356" s="102" t="str">
        <f t="shared" ref="C356:C367" si="68">$B$352&amp;"-"&amp;D356</f>
        <v>FI-JR-40-F-DZ</v>
      </c>
      <c r="D356" s="91" t="s">
        <v>1094</v>
      </c>
      <c r="E356" s="103" t="s">
        <v>319</v>
      </c>
      <c r="F356" s="93"/>
      <c r="G356" s="116">
        <v>0</v>
      </c>
      <c r="H356" s="105" t="str">
        <f t="shared" ref="H356:H367" si="69">$B$352&amp;"-"&amp;I356</f>
        <v>FI-JR-40-F-LB</v>
      </c>
      <c r="I356" s="91" t="s">
        <v>1102</v>
      </c>
      <c r="J356" s="92" t="s">
        <v>434</v>
      </c>
      <c r="K356" s="116">
        <v>0</v>
      </c>
      <c r="L356" s="105" t="str">
        <f t="shared" ref="L356:L361" si="70">$B$352&amp;"-"&amp;M356</f>
        <v>FI-JR-40-F-TT</v>
      </c>
      <c r="M356" s="91" t="s">
        <v>1111</v>
      </c>
      <c r="N356" s="92" t="s">
        <v>532</v>
      </c>
      <c r="O356" s="99">
        <v>0</v>
      </c>
      <c r="P356" s="95"/>
      <c r="R356" s="89"/>
      <c r="T356" s="11" t="str">
        <f t="shared" ref="T356:T361" si="71">IF(OR(AND(OR(ISBLANK(G356),ISBLANK(K356),ISBLANK(O356)),$R$352&gt;0),AND($R$352&lt;=0,OR(OR(G356&lt;&gt;0,K356&lt;&gt;0,O356&lt;&gt;0)))),"R","G")</f>
        <v>G</v>
      </c>
    </row>
    <row r="357" spans="2:20" x14ac:dyDescent="0.25">
      <c r="B357" s="90"/>
      <c r="C357" s="102" t="str">
        <f t="shared" si="68"/>
        <v>FI-JR-40-F-AO</v>
      </c>
      <c r="D357" s="91" t="s">
        <v>1095</v>
      </c>
      <c r="E357" s="103" t="s">
        <v>322</v>
      </c>
      <c r="F357" s="93"/>
      <c r="G357" s="116">
        <v>0</v>
      </c>
      <c r="H357" s="105" t="str">
        <f t="shared" si="69"/>
        <v>FI-JR-40-F-ML</v>
      </c>
      <c r="I357" s="91" t="s">
        <v>1103</v>
      </c>
      <c r="J357" s="92" t="s">
        <v>447</v>
      </c>
      <c r="K357" s="116">
        <v>0</v>
      </c>
      <c r="L357" s="105" t="str">
        <f t="shared" si="70"/>
        <v>FI-JR-40-F-VU</v>
      </c>
      <c r="M357" s="91" t="s">
        <v>1112</v>
      </c>
      <c r="N357" s="92" t="s">
        <v>546</v>
      </c>
      <c r="O357" s="99">
        <v>0</v>
      </c>
      <c r="P357" s="95"/>
      <c r="R357" s="89"/>
      <c r="T357" s="11" t="str">
        <f t="shared" si="71"/>
        <v>G</v>
      </c>
    </row>
    <row r="358" spans="2:20" x14ac:dyDescent="0.25">
      <c r="B358" s="90"/>
      <c r="C358" s="102" t="str">
        <f t="shared" si="68"/>
        <v>FI-JR-40-F-BO</v>
      </c>
      <c r="D358" s="91" t="s">
        <v>1316</v>
      </c>
      <c r="E358" s="103" t="s">
        <v>342</v>
      </c>
      <c r="F358" s="93"/>
      <c r="G358" s="116">
        <v>0</v>
      </c>
      <c r="H358" s="105" t="str">
        <f t="shared" si="69"/>
        <v>FI-JR-40-F-MN</v>
      </c>
      <c r="I358" s="91" t="s">
        <v>1315</v>
      </c>
      <c r="J358" s="92" t="s">
        <v>457</v>
      </c>
      <c r="K358" s="116">
        <v>0</v>
      </c>
      <c r="L358" s="105" t="str">
        <f t="shared" si="70"/>
        <v>FI-JR-40-F-VE</v>
      </c>
      <c r="M358" s="91" t="s">
        <v>1113</v>
      </c>
      <c r="N358" s="92" t="s">
        <v>547</v>
      </c>
      <c r="O358" s="99">
        <v>0</v>
      </c>
      <c r="P358" s="95"/>
      <c r="R358" s="89"/>
      <c r="T358" s="11" t="str">
        <f t="shared" si="71"/>
        <v>G</v>
      </c>
    </row>
    <row r="359" spans="2:20" x14ac:dyDescent="0.25">
      <c r="B359" s="90"/>
      <c r="C359" s="102" t="str">
        <f t="shared" si="68"/>
        <v>FI-JR-40-F-BG</v>
      </c>
      <c r="D359" s="91" t="s">
        <v>1096</v>
      </c>
      <c r="E359" s="103" t="s">
        <v>349</v>
      </c>
      <c r="F359" s="93"/>
      <c r="G359" s="116">
        <v>0</v>
      </c>
      <c r="H359" s="105" t="str">
        <f t="shared" si="69"/>
        <v>FI-JR-40-F-MZ</v>
      </c>
      <c r="I359" s="91" t="s">
        <v>1104</v>
      </c>
      <c r="J359" s="92" t="s">
        <v>461</v>
      </c>
      <c r="K359" s="116">
        <v>0</v>
      </c>
      <c r="L359" s="105" t="str">
        <f t="shared" si="70"/>
        <v>FI-JR-40-F-VN</v>
      </c>
      <c r="M359" s="91" t="s">
        <v>1114</v>
      </c>
      <c r="N359" s="92" t="s">
        <v>1313</v>
      </c>
      <c r="O359" s="99">
        <v>0</v>
      </c>
      <c r="P359" s="95"/>
      <c r="R359" s="89"/>
      <c r="T359" s="11" t="str">
        <f t="shared" si="71"/>
        <v>G</v>
      </c>
    </row>
    <row r="360" spans="2:20" x14ac:dyDescent="0.25">
      <c r="B360" s="90"/>
      <c r="C360" s="102" t="str">
        <f t="shared" si="68"/>
        <v>FI-JR-40-F-BF</v>
      </c>
      <c r="D360" s="91" t="s">
        <v>1097</v>
      </c>
      <c r="E360" s="103" t="s">
        <v>350</v>
      </c>
      <c r="F360" s="93"/>
      <c r="G360" s="116">
        <v>0</v>
      </c>
      <c r="H360" s="105" t="str">
        <f t="shared" si="69"/>
        <v>FI-JR-40-F-MM</v>
      </c>
      <c r="I360" s="91" t="s">
        <v>1105</v>
      </c>
      <c r="J360" s="92" t="s">
        <v>462</v>
      </c>
      <c r="K360" s="116">
        <v>0</v>
      </c>
      <c r="L360" s="105" t="str">
        <f t="shared" si="70"/>
        <v>FI-JR-40-F-VI</v>
      </c>
      <c r="M360" s="91" t="s">
        <v>1319</v>
      </c>
      <c r="N360" s="92" t="s">
        <v>1314</v>
      </c>
      <c r="O360" s="99">
        <v>0</v>
      </c>
      <c r="P360" s="95"/>
      <c r="R360" s="89"/>
      <c r="T360" s="11" t="str">
        <f t="shared" si="71"/>
        <v>G</v>
      </c>
    </row>
    <row r="361" spans="2:20" x14ac:dyDescent="0.25">
      <c r="B361" s="90"/>
      <c r="C361" s="102" t="str">
        <f t="shared" si="68"/>
        <v>FI-JR-40-F-CM</v>
      </c>
      <c r="D361" s="91" t="s">
        <v>1098</v>
      </c>
      <c r="E361" s="103" t="s">
        <v>353</v>
      </c>
      <c r="F361" s="93"/>
      <c r="G361" s="116">
        <v>0</v>
      </c>
      <c r="H361" s="105" t="str">
        <f>$B$352&amp;"-"&amp;I361</f>
        <v>FI-JR-40-F-NA</v>
      </c>
      <c r="I361" s="91" t="s">
        <v>1106</v>
      </c>
      <c r="J361" s="92" t="s">
        <v>463</v>
      </c>
      <c r="K361" s="116">
        <v>0</v>
      </c>
      <c r="L361" s="105" t="str">
        <f t="shared" si="70"/>
        <v>FI-JR-40-F-YE</v>
      </c>
      <c r="M361" s="91" t="s">
        <v>1115</v>
      </c>
      <c r="N361" s="92" t="s">
        <v>553</v>
      </c>
      <c r="O361" s="99">
        <v>0</v>
      </c>
      <c r="P361" s="95"/>
      <c r="R361" s="89"/>
      <c r="T361" s="11" t="str">
        <f t="shared" si="71"/>
        <v>G</v>
      </c>
    </row>
    <row r="362" spans="2:20" ht="38.25" x14ac:dyDescent="0.25">
      <c r="B362" s="90"/>
      <c r="C362" s="102" t="str">
        <f t="shared" si="68"/>
        <v>FI-JR-40-F-CD</v>
      </c>
      <c r="D362" s="91" t="s">
        <v>1099</v>
      </c>
      <c r="E362" s="103" t="s">
        <v>366</v>
      </c>
      <c r="F362" s="93"/>
      <c r="G362" s="116">
        <v>0</v>
      </c>
      <c r="H362" s="105" t="str">
        <f t="shared" si="69"/>
        <v>FI-JR-40-F-NP</v>
      </c>
      <c r="I362" s="91" t="s">
        <v>1318</v>
      </c>
      <c r="J362" s="92" t="s">
        <v>465</v>
      </c>
      <c r="K362" s="116">
        <v>0</v>
      </c>
      <c r="L362" s="95"/>
      <c r="M362" s="95"/>
      <c r="N362" s="95"/>
      <c r="O362" s="95"/>
      <c r="P362" s="95"/>
      <c r="R362" s="89"/>
      <c r="T362" s="11" t="str">
        <f t="shared" ref="T362:T367" si="72">IF(OR(AND(OR(ISBLANK(G362),ISBLANK(K362)),$R$352&gt;0),AND($R$352&lt;=0,OR(OR(G362&lt;&gt;0,K362&lt;&gt;0)))),"R","G")</f>
        <v>G</v>
      </c>
    </row>
    <row r="363" spans="2:20" x14ac:dyDescent="0.25">
      <c r="B363" s="90"/>
      <c r="C363" s="102" t="str">
        <f t="shared" si="68"/>
        <v>FI-JR-40-F-CI</v>
      </c>
      <c r="D363" s="91" t="s">
        <v>1091</v>
      </c>
      <c r="E363" s="103" t="s">
        <v>369</v>
      </c>
      <c r="F363" s="93"/>
      <c r="G363" s="116">
        <v>0</v>
      </c>
      <c r="H363" s="105" t="str">
        <f t="shared" si="69"/>
        <v>FI-JR-40-F-NG</v>
      </c>
      <c r="I363" s="91" t="s">
        <v>1107</v>
      </c>
      <c r="J363" s="92" t="s">
        <v>472</v>
      </c>
      <c r="K363" s="116">
        <v>0</v>
      </c>
      <c r="L363" s="95"/>
      <c r="M363" s="95"/>
      <c r="N363" s="95"/>
      <c r="O363" s="95"/>
      <c r="P363" s="95"/>
      <c r="R363" s="89"/>
      <c r="T363" s="11" t="str">
        <f t="shared" si="72"/>
        <v>G</v>
      </c>
    </row>
    <row r="364" spans="2:20" x14ac:dyDescent="0.25">
      <c r="B364" s="90"/>
      <c r="C364" s="102" t="str">
        <f t="shared" si="68"/>
        <v>FI-JR-40-F-HT</v>
      </c>
      <c r="D364" s="91" t="s">
        <v>1100</v>
      </c>
      <c r="E364" s="103" t="s">
        <v>408</v>
      </c>
      <c r="F364" s="93"/>
      <c r="G364" s="116">
        <v>0</v>
      </c>
      <c r="H364" s="105" t="str">
        <f t="shared" si="69"/>
        <v>FI-JR-40-F-RU</v>
      </c>
      <c r="I364" s="91" t="s">
        <v>1321</v>
      </c>
      <c r="J364" s="92" t="s">
        <v>1320</v>
      </c>
      <c r="K364" s="116">
        <v>0</v>
      </c>
      <c r="L364" s="95"/>
      <c r="M364" s="95"/>
      <c r="N364" s="95"/>
      <c r="O364" s="95"/>
      <c r="P364" s="95"/>
      <c r="R364" s="89"/>
      <c r="T364" s="11" t="str">
        <f t="shared" si="72"/>
        <v>G</v>
      </c>
    </row>
    <row r="365" spans="2:20" ht="25.5" x14ac:dyDescent="0.25">
      <c r="B365" s="90"/>
      <c r="C365" s="102" t="str">
        <f t="shared" si="68"/>
        <v>FI-JR-40-F-IR</v>
      </c>
      <c r="D365" s="91" t="s">
        <v>912</v>
      </c>
      <c r="E365" s="103" t="s">
        <v>417</v>
      </c>
      <c r="F365" s="93"/>
      <c r="G365" s="116">
        <v>0</v>
      </c>
      <c r="H365" s="105" t="str">
        <f t="shared" si="69"/>
        <v>FI-JR-40-F-ZA</v>
      </c>
      <c r="I365" s="91" t="s">
        <v>1108</v>
      </c>
      <c r="J365" s="92" t="s">
        <v>513</v>
      </c>
      <c r="K365" s="116">
        <v>0</v>
      </c>
      <c r="L365" s="95"/>
      <c r="M365" s="95"/>
      <c r="N365" s="95"/>
      <c r="O365" s="95"/>
      <c r="P365" s="95"/>
      <c r="R365" s="89"/>
      <c r="T365" s="11" t="str">
        <f t="shared" si="72"/>
        <v>G</v>
      </c>
    </row>
    <row r="366" spans="2:20" x14ac:dyDescent="0.25">
      <c r="B366" s="90"/>
      <c r="C366" s="102" t="str">
        <f t="shared" si="68"/>
        <v>FI-JR-40-F-KE</v>
      </c>
      <c r="D366" s="91" t="s">
        <v>1101</v>
      </c>
      <c r="E366" s="103" t="s">
        <v>426</v>
      </c>
      <c r="F366" s="93"/>
      <c r="G366" s="116">
        <v>0</v>
      </c>
      <c r="H366" s="105" t="str">
        <f t="shared" si="69"/>
        <v>FI-JR-40-F-SS</v>
      </c>
      <c r="I366" s="91" t="s">
        <v>1089</v>
      </c>
      <c r="J366" s="92" t="s">
        <v>1088</v>
      </c>
      <c r="K366" s="99">
        <v>0</v>
      </c>
      <c r="L366" s="94"/>
      <c r="M366" s="95"/>
      <c r="N366" s="95"/>
      <c r="O366" s="95"/>
      <c r="P366" s="95"/>
      <c r="R366" s="89"/>
      <c r="T366" s="11" t="str">
        <f t="shared" si="72"/>
        <v>G</v>
      </c>
    </row>
    <row r="367" spans="2:20" ht="25.5" x14ac:dyDescent="0.25">
      <c r="B367" s="90"/>
      <c r="C367" s="102" t="str">
        <f t="shared" si="68"/>
        <v>FI-JR-40-F-KP</v>
      </c>
      <c r="D367" s="91" t="s">
        <v>1090</v>
      </c>
      <c r="E367" s="103" t="s">
        <v>428</v>
      </c>
      <c r="F367" s="96"/>
      <c r="G367" s="116">
        <v>0</v>
      </c>
      <c r="H367" s="105" t="str">
        <f t="shared" si="69"/>
        <v>FI-JR-40-F-SY</v>
      </c>
      <c r="I367" s="91" t="s">
        <v>1109</v>
      </c>
      <c r="J367" s="92" t="s">
        <v>523</v>
      </c>
      <c r="K367" s="99">
        <v>0</v>
      </c>
      <c r="L367" s="94"/>
      <c r="M367" s="95"/>
      <c r="N367" s="95"/>
      <c r="O367" s="95"/>
      <c r="P367" s="95"/>
      <c r="R367" s="89"/>
      <c r="T367" s="11" t="str">
        <f t="shared" si="72"/>
        <v>G</v>
      </c>
    </row>
    <row r="368" spans="2:20" x14ac:dyDescent="0.25">
      <c r="B368" s="90"/>
      <c r="C368" s="90"/>
      <c r="D368" s="112"/>
      <c r="E368" s="10"/>
      <c r="F368" s="10"/>
      <c r="G368" s="10"/>
      <c r="H368" s="10"/>
      <c r="I368" s="10"/>
      <c r="J368" s="10"/>
      <c r="K368" s="10"/>
      <c r="L368" s="10"/>
      <c r="M368" s="10"/>
      <c r="N368" s="10"/>
      <c r="O368" s="95"/>
      <c r="P368" s="95"/>
      <c r="R368" s="89"/>
      <c r="T368" s="11"/>
    </row>
    <row r="369" spans="2:20" ht="37.5" customHeight="1" x14ac:dyDescent="0.25">
      <c r="B369" s="15" t="s">
        <v>756</v>
      </c>
      <c r="D369" s="186" t="s">
        <v>1154</v>
      </c>
      <c r="E369" s="186"/>
      <c r="F369" s="186"/>
      <c r="G369" s="186"/>
      <c r="H369" s="186"/>
      <c r="I369" s="186"/>
      <c r="J369" s="186"/>
      <c r="K369" s="186"/>
      <c r="L369" s="186"/>
      <c r="M369" s="186"/>
      <c r="N369" s="186"/>
      <c r="O369" s="186"/>
      <c r="P369" s="52"/>
      <c r="R369" s="10"/>
    </row>
    <row r="370" spans="2:20" ht="52.5" customHeight="1" x14ac:dyDescent="0.25">
      <c r="D370" s="190" t="s">
        <v>1349</v>
      </c>
      <c r="E370" s="190"/>
      <c r="F370" s="190"/>
      <c r="G370" s="190"/>
      <c r="H370" s="190"/>
      <c r="I370" s="190"/>
      <c r="J370" s="190"/>
      <c r="K370" s="190"/>
      <c r="L370" s="190"/>
      <c r="M370" s="190"/>
      <c r="N370" s="190"/>
      <c r="O370" s="190"/>
      <c r="P370" s="190"/>
      <c r="R370" s="101"/>
    </row>
    <row r="371" spans="2:20" ht="15" customHeight="1" x14ac:dyDescent="0.25">
      <c r="B371" s="46" t="str">
        <f>B369&amp;"-M"</f>
        <v>FI-JR-42-M</v>
      </c>
      <c r="C371" s="46"/>
      <c r="D371" s="84"/>
      <c r="E371" s="189" t="s">
        <v>448</v>
      </c>
      <c r="F371" s="189"/>
      <c r="G371" s="189"/>
      <c r="H371" s="189"/>
      <c r="I371" s="189"/>
      <c r="J371" s="189"/>
      <c r="K371" s="189"/>
      <c r="L371" s="189"/>
      <c r="M371" s="189"/>
      <c r="N371" s="189"/>
      <c r="O371" s="189"/>
      <c r="P371" s="111" t="s">
        <v>985</v>
      </c>
      <c r="R371" s="17"/>
      <c r="T371" s="11" t="str">
        <f>IF(OR(AND(ISBLANK(R371),PR.93&gt;0),AND(PR.93&lt;=0,NOT(ISBLANK(R371)))),"R","G")</f>
        <v>G</v>
      </c>
    </row>
    <row r="372" spans="2:20" ht="15" customHeight="1" x14ac:dyDescent="0.25">
      <c r="B372" s="46" t="str">
        <f>B369&amp;"-E"</f>
        <v>FI-JR-42-E</v>
      </c>
      <c r="C372" s="46"/>
      <c r="D372" s="84"/>
      <c r="E372" s="189" t="s">
        <v>1084</v>
      </c>
      <c r="F372" s="189"/>
      <c r="G372" s="189"/>
      <c r="H372" s="189"/>
      <c r="I372" s="189"/>
      <c r="J372" s="189"/>
      <c r="K372" s="189"/>
      <c r="L372" s="189"/>
      <c r="M372" s="189"/>
      <c r="N372" s="189"/>
      <c r="O372" s="189"/>
      <c r="P372" s="111" t="s">
        <v>985</v>
      </c>
      <c r="R372" s="17"/>
      <c r="T372" s="11" t="str">
        <f>IF(OR(AND(ISBLANK(R372),PR.93&gt;0),AND(PR.93&lt;=0,NOT(ISBLANK(R372)))),"R","G")</f>
        <v>G</v>
      </c>
    </row>
    <row r="373" spans="2:20" ht="15" customHeight="1" x14ac:dyDescent="0.25">
      <c r="B373" s="46" t="str">
        <f>B369&amp;"-N"</f>
        <v>FI-JR-42-N</v>
      </c>
      <c r="C373" s="46"/>
      <c r="D373" s="84"/>
      <c r="E373" s="189" t="s">
        <v>1085</v>
      </c>
      <c r="F373" s="189"/>
      <c r="G373" s="189"/>
      <c r="H373" s="189"/>
      <c r="I373" s="189"/>
      <c r="J373" s="189"/>
      <c r="K373" s="189"/>
      <c r="L373" s="189"/>
      <c r="M373" s="189"/>
      <c r="N373" s="189"/>
      <c r="O373" s="189"/>
      <c r="P373" s="111" t="s">
        <v>985</v>
      </c>
      <c r="R373" s="17"/>
      <c r="T373" s="11" t="str">
        <f>IF(OR(AND(ISBLANK(R373),PR.93&gt;0),AND(PR.93&lt;=0,NOT(ISBLANK(R373)))),"R","G")</f>
        <v>G</v>
      </c>
    </row>
    <row r="374" spans="2:20" ht="27" customHeight="1" x14ac:dyDescent="0.25">
      <c r="B374" s="46" t="str">
        <f>B369&amp;"-F"</f>
        <v>FI-JR-42-F</v>
      </c>
      <c r="C374" s="46"/>
      <c r="D374" s="84"/>
      <c r="E374" s="191" t="s">
        <v>1086</v>
      </c>
      <c r="F374" s="191"/>
      <c r="G374" s="191"/>
      <c r="H374" s="191"/>
      <c r="I374" s="191"/>
      <c r="J374" s="191"/>
      <c r="K374" s="191"/>
      <c r="L374" s="191"/>
      <c r="M374" s="191"/>
      <c r="N374" s="191"/>
      <c r="O374" s="191"/>
      <c r="P374" s="111" t="s">
        <v>985</v>
      </c>
      <c r="R374" s="17"/>
      <c r="T374" s="11" t="str">
        <f>IF(OR(AND(ISBLANK(R374),PR.93&gt;0),AND(PR.93&lt;=0,NOT(ISBLANK(R374)))),"R","G")</f>
        <v>G</v>
      </c>
    </row>
    <row r="375" spans="2:20" ht="9.75" customHeight="1" x14ac:dyDescent="0.25">
      <c r="B375" s="10"/>
      <c r="C375" s="10"/>
      <c r="D375" s="10"/>
      <c r="E375" s="10"/>
      <c r="F375" s="10"/>
      <c r="G375" s="10"/>
      <c r="H375" s="10"/>
      <c r="I375" s="10"/>
      <c r="J375" s="10"/>
      <c r="K375" s="10"/>
      <c r="L375" s="10"/>
      <c r="M375" s="10"/>
      <c r="N375" s="10"/>
      <c r="O375" s="10"/>
      <c r="P375" s="10"/>
      <c r="R375" s="10"/>
    </row>
    <row r="376" spans="2:20" ht="15" customHeight="1" x14ac:dyDescent="0.25">
      <c r="B376" s="47"/>
      <c r="C376" s="47"/>
      <c r="D376" s="192" t="str">
        <f>IF(R374=0,"",IF(SUM(G377:G389,K377:K389,O377:O383)=R374,"","The totals included next to each jurisdiction do not add up to "&amp;R374&amp;", please revise the figures."))</f>
        <v/>
      </c>
      <c r="E376" s="192"/>
      <c r="F376" s="192"/>
      <c r="G376" s="192"/>
      <c r="H376" s="192"/>
      <c r="I376" s="192"/>
      <c r="J376" s="192"/>
      <c r="K376" s="192"/>
      <c r="L376" s="192"/>
      <c r="M376" s="192"/>
      <c r="N376" s="192"/>
      <c r="O376" s="192"/>
      <c r="P376" s="88"/>
      <c r="R376" s="89"/>
      <c r="T376" s="11" t="str">
        <f>IF(D376="","G","R")</f>
        <v>G</v>
      </c>
    </row>
    <row r="377" spans="2:20" ht="25.5" x14ac:dyDescent="0.25">
      <c r="B377" s="90"/>
      <c r="C377" s="102" t="str">
        <f>$B$374&amp;"-"&amp;D377</f>
        <v>FI-JR-42-F-AF</v>
      </c>
      <c r="D377" s="91" t="s">
        <v>1093</v>
      </c>
      <c r="E377" s="103" t="s">
        <v>317</v>
      </c>
      <c r="F377" s="93"/>
      <c r="G377" s="118">
        <v>0</v>
      </c>
      <c r="H377" s="105" t="str">
        <f>$B$374&amp;"-"&amp;I377</f>
        <v>FI-JR-42-F-LA</v>
      </c>
      <c r="I377" s="91" t="s">
        <v>1317</v>
      </c>
      <c r="J377" s="92" t="s">
        <v>1312</v>
      </c>
      <c r="K377" s="118">
        <v>0</v>
      </c>
      <c r="L377" s="105" t="str">
        <f>$B$374&amp;"-"&amp;M377</f>
        <v>FI-JR-42-F-TZ</v>
      </c>
      <c r="M377" s="91" t="s">
        <v>1110</v>
      </c>
      <c r="N377" s="92" t="s">
        <v>526</v>
      </c>
      <c r="O377" s="117">
        <v>0</v>
      </c>
      <c r="P377" s="95"/>
      <c r="R377" s="89"/>
      <c r="T377" s="11" t="str">
        <f>IF(OR(AND(OR(ISBLANK(G377),ISBLANK(K377),ISBLANK(O377)),$R$374&gt;0),AND($R$374&lt;=0,OR(OR(G377&lt;&gt;0,K377&lt;&gt;0,O377&lt;&gt;0)))),"R","G")</f>
        <v>G</v>
      </c>
    </row>
    <row r="378" spans="2:20" x14ac:dyDescent="0.25">
      <c r="B378" s="90"/>
      <c r="C378" s="102" t="str">
        <f t="shared" ref="C378:C389" si="73">$B$374&amp;"-"&amp;D378</f>
        <v>FI-JR-42-F-DZ</v>
      </c>
      <c r="D378" s="91" t="s">
        <v>1094</v>
      </c>
      <c r="E378" s="103" t="s">
        <v>319</v>
      </c>
      <c r="F378" s="93"/>
      <c r="G378" s="118">
        <v>0</v>
      </c>
      <c r="H378" s="105" t="str">
        <f t="shared" ref="H378:H389" si="74">$B$374&amp;"-"&amp;I378</f>
        <v>FI-JR-42-F-LB</v>
      </c>
      <c r="I378" s="91" t="s">
        <v>1102</v>
      </c>
      <c r="J378" s="92" t="s">
        <v>434</v>
      </c>
      <c r="K378" s="118">
        <v>0</v>
      </c>
      <c r="L378" s="105" t="str">
        <f t="shared" ref="L378:L383" si="75">$B$374&amp;"-"&amp;M378</f>
        <v>FI-JR-42-F-TT</v>
      </c>
      <c r="M378" s="91" t="s">
        <v>1111</v>
      </c>
      <c r="N378" s="92" t="s">
        <v>532</v>
      </c>
      <c r="O378" s="117">
        <v>0</v>
      </c>
      <c r="P378" s="95"/>
      <c r="R378" s="89"/>
      <c r="T378" s="11" t="str">
        <f t="shared" ref="T378:T383" si="76">IF(OR(AND(OR(ISBLANK(G378),ISBLANK(K378),ISBLANK(O378)),$R$374&gt;0),AND($R$374&lt;=0,OR(OR(G378&lt;&gt;0,K378&lt;&gt;0,O378&lt;&gt;0)))),"R","G")</f>
        <v>G</v>
      </c>
    </row>
    <row r="379" spans="2:20" x14ac:dyDescent="0.25">
      <c r="B379" s="90"/>
      <c r="C379" s="102" t="str">
        <f t="shared" si="73"/>
        <v>FI-JR-42-F-AO</v>
      </c>
      <c r="D379" s="91" t="s">
        <v>1095</v>
      </c>
      <c r="E379" s="103" t="s">
        <v>322</v>
      </c>
      <c r="F379" s="93"/>
      <c r="G379" s="118">
        <v>0</v>
      </c>
      <c r="H379" s="105" t="str">
        <f t="shared" si="74"/>
        <v>FI-JR-42-F-ML</v>
      </c>
      <c r="I379" s="91" t="s">
        <v>1103</v>
      </c>
      <c r="J379" s="92" t="s">
        <v>447</v>
      </c>
      <c r="K379" s="118">
        <v>0</v>
      </c>
      <c r="L379" s="105" t="str">
        <f t="shared" si="75"/>
        <v>FI-JR-42-F-VU</v>
      </c>
      <c r="M379" s="91" t="s">
        <v>1112</v>
      </c>
      <c r="N379" s="92" t="s">
        <v>546</v>
      </c>
      <c r="O379" s="117">
        <v>0</v>
      </c>
      <c r="P379" s="95"/>
      <c r="R379" s="89"/>
      <c r="T379" s="11" t="str">
        <f t="shared" si="76"/>
        <v>G</v>
      </c>
    </row>
    <row r="380" spans="2:20" x14ac:dyDescent="0.25">
      <c r="B380" s="90"/>
      <c r="C380" s="102" t="str">
        <f t="shared" si="73"/>
        <v>FI-JR-42-F-BO</v>
      </c>
      <c r="D380" s="91" t="s">
        <v>1316</v>
      </c>
      <c r="E380" s="103" t="s">
        <v>342</v>
      </c>
      <c r="F380" s="93"/>
      <c r="G380" s="118">
        <v>0</v>
      </c>
      <c r="H380" s="105" t="str">
        <f t="shared" si="74"/>
        <v>FI-JR-42-F-MN</v>
      </c>
      <c r="I380" s="91" t="s">
        <v>1315</v>
      </c>
      <c r="J380" s="92" t="s">
        <v>457</v>
      </c>
      <c r="K380" s="118">
        <v>0</v>
      </c>
      <c r="L380" s="105" t="str">
        <f t="shared" si="75"/>
        <v>FI-JR-42-F-VE</v>
      </c>
      <c r="M380" s="91" t="s">
        <v>1113</v>
      </c>
      <c r="N380" s="92" t="s">
        <v>547</v>
      </c>
      <c r="O380" s="117">
        <v>0</v>
      </c>
      <c r="P380" s="95"/>
      <c r="R380" s="89"/>
      <c r="T380" s="11" t="str">
        <f t="shared" si="76"/>
        <v>G</v>
      </c>
    </row>
    <row r="381" spans="2:20" x14ac:dyDescent="0.25">
      <c r="B381" s="90"/>
      <c r="C381" s="102" t="str">
        <f t="shared" si="73"/>
        <v>FI-JR-42-F-BG</v>
      </c>
      <c r="D381" s="91" t="s">
        <v>1096</v>
      </c>
      <c r="E381" s="103" t="s">
        <v>349</v>
      </c>
      <c r="F381" s="93"/>
      <c r="G381" s="118">
        <v>0</v>
      </c>
      <c r="H381" s="105" t="str">
        <f t="shared" si="74"/>
        <v>FI-JR-42-F-MZ</v>
      </c>
      <c r="I381" s="91" t="s">
        <v>1104</v>
      </c>
      <c r="J381" s="92" t="s">
        <v>461</v>
      </c>
      <c r="K381" s="118">
        <v>0</v>
      </c>
      <c r="L381" s="105" t="str">
        <f t="shared" si="75"/>
        <v>FI-JR-42-F-VN</v>
      </c>
      <c r="M381" s="91" t="s">
        <v>1114</v>
      </c>
      <c r="N381" s="92" t="s">
        <v>1313</v>
      </c>
      <c r="O381" s="117">
        <v>0</v>
      </c>
      <c r="P381" s="95"/>
      <c r="R381" s="89"/>
      <c r="T381" s="11" t="str">
        <f t="shared" si="76"/>
        <v>G</v>
      </c>
    </row>
    <row r="382" spans="2:20" x14ac:dyDescent="0.25">
      <c r="B382" s="90"/>
      <c r="C382" s="102" t="str">
        <f t="shared" si="73"/>
        <v>FI-JR-42-F-BF</v>
      </c>
      <c r="D382" s="91" t="s">
        <v>1097</v>
      </c>
      <c r="E382" s="103" t="s">
        <v>350</v>
      </c>
      <c r="F382" s="93"/>
      <c r="G382" s="118">
        <v>0</v>
      </c>
      <c r="H382" s="105" t="str">
        <f t="shared" si="74"/>
        <v>FI-JR-42-F-MM</v>
      </c>
      <c r="I382" s="91" t="s">
        <v>1105</v>
      </c>
      <c r="J382" s="92" t="s">
        <v>462</v>
      </c>
      <c r="K382" s="118">
        <v>0</v>
      </c>
      <c r="L382" s="105" t="str">
        <f t="shared" si="75"/>
        <v>FI-JR-42-F-VI</v>
      </c>
      <c r="M382" s="91" t="s">
        <v>1319</v>
      </c>
      <c r="N382" s="92" t="s">
        <v>1314</v>
      </c>
      <c r="O382" s="117">
        <v>0</v>
      </c>
      <c r="P382" s="95"/>
      <c r="R382" s="89"/>
      <c r="T382" s="11" t="str">
        <f t="shared" si="76"/>
        <v>G</v>
      </c>
    </row>
    <row r="383" spans="2:20" x14ac:dyDescent="0.25">
      <c r="B383" s="90"/>
      <c r="C383" s="102" t="str">
        <f t="shared" si="73"/>
        <v>FI-JR-42-F-CM</v>
      </c>
      <c r="D383" s="91" t="s">
        <v>1098</v>
      </c>
      <c r="E383" s="103" t="s">
        <v>353</v>
      </c>
      <c r="F383" s="93"/>
      <c r="G383" s="118">
        <v>0</v>
      </c>
      <c r="H383" s="105" t="str">
        <f t="shared" si="74"/>
        <v>FI-JR-42-F-NA</v>
      </c>
      <c r="I383" s="91" t="s">
        <v>1106</v>
      </c>
      <c r="J383" s="92" t="s">
        <v>463</v>
      </c>
      <c r="K383" s="118">
        <v>0</v>
      </c>
      <c r="L383" s="105" t="str">
        <f t="shared" si="75"/>
        <v>FI-JR-42-F-YE</v>
      </c>
      <c r="M383" s="91" t="s">
        <v>1115</v>
      </c>
      <c r="N383" s="92" t="s">
        <v>553</v>
      </c>
      <c r="O383" s="117">
        <v>0</v>
      </c>
      <c r="P383" s="95"/>
      <c r="R383" s="89"/>
      <c r="T383" s="11" t="str">
        <f t="shared" si="76"/>
        <v>G</v>
      </c>
    </row>
    <row r="384" spans="2:20" ht="38.25" x14ac:dyDescent="0.25">
      <c r="B384" s="90"/>
      <c r="C384" s="102" t="str">
        <f t="shared" si="73"/>
        <v>FI-JR-42-F-CD</v>
      </c>
      <c r="D384" s="91" t="s">
        <v>1099</v>
      </c>
      <c r="E384" s="103" t="s">
        <v>366</v>
      </c>
      <c r="F384" s="93"/>
      <c r="G384" s="118">
        <v>0</v>
      </c>
      <c r="H384" s="105" t="str">
        <f t="shared" si="74"/>
        <v>FI-JR-42-F-NP</v>
      </c>
      <c r="I384" s="91" t="s">
        <v>1318</v>
      </c>
      <c r="J384" s="92" t="s">
        <v>465</v>
      </c>
      <c r="K384" s="118">
        <v>0</v>
      </c>
      <c r="L384" s="95"/>
      <c r="M384" s="95"/>
      <c r="N384" s="95"/>
      <c r="O384" s="95"/>
      <c r="P384" s="95"/>
      <c r="R384" s="89"/>
      <c r="T384" s="11" t="str">
        <f t="shared" ref="T384:T389" si="77">IF(OR(AND(OR(ISBLANK(G384),ISBLANK(K384)),$R$374&gt;0),AND($R$374&lt;=0,OR(OR(G384&lt;&gt;0,K384&lt;&gt;0)))),"R","G")</f>
        <v>G</v>
      </c>
    </row>
    <row r="385" spans="2:20" x14ac:dyDescent="0.25">
      <c r="B385" s="90"/>
      <c r="C385" s="102" t="str">
        <f t="shared" si="73"/>
        <v>FI-JR-42-F-CI</v>
      </c>
      <c r="D385" s="91" t="s">
        <v>1091</v>
      </c>
      <c r="E385" s="103" t="s">
        <v>369</v>
      </c>
      <c r="F385" s="93"/>
      <c r="G385" s="118">
        <v>0</v>
      </c>
      <c r="H385" s="105" t="str">
        <f t="shared" si="74"/>
        <v>FI-JR-42-F-NG</v>
      </c>
      <c r="I385" s="91" t="s">
        <v>1107</v>
      </c>
      <c r="J385" s="92" t="s">
        <v>472</v>
      </c>
      <c r="K385" s="118">
        <v>0</v>
      </c>
      <c r="L385" s="95"/>
      <c r="M385" s="95"/>
      <c r="N385" s="95"/>
      <c r="O385" s="95"/>
      <c r="P385" s="95"/>
      <c r="R385" s="89"/>
      <c r="T385" s="11" t="str">
        <f t="shared" si="77"/>
        <v>G</v>
      </c>
    </row>
    <row r="386" spans="2:20" x14ac:dyDescent="0.25">
      <c r="B386" s="90"/>
      <c r="C386" s="102" t="str">
        <f t="shared" si="73"/>
        <v>FI-JR-42-F-HT</v>
      </c>
      <c r="D386" s="91" t="s">
        <v>1100</v>
      </c>
      <c r="E386" s="103" t="s">
        <v>408</v>
      </c>
      <c r="F386" s="93"/>
      <c r="G386" s="118">
        <v>0</v>
      </c>
      <c r="H386" s="105" t="str">
        <f t="shared" si="74"/>
        <v>FI-JR-42-F-RU</v>
      </c>
      <c r="I386" s="91" t="s">
        <v>1321</v>
      </c>
      <c r="J386" s="92" t="s">
        <v>1320</v>
      </c>
      <c r="K386" s="118">
        <v>0</v>
      </c>
      <c r="L386" s="95"/>
      <c r="M386" s="95"/>
      <c r="N386" s="95"/>
      <c r="O386" s="95"/>
      <c r="P386" s="95"/>
      <c r="R386" s="89"/>
      <c r="T386" s="11" t="str">
        <f t="shared" si="77"/>
        <v>G</v>
      </c>
    </row>
    <row r="387" spans="2:20" ht="25.5" x14ac:dyDescent="0.25">
      <c r="B387" s="90"/>
      <c r="C387" s="102" t="str">
        <f t="shared" si="73"/>
        <v>FI-JR-42-F-IR</v>
      </c>
      <c r="D387" s="91" t="s">
        <v>912</v>
      </c>
      <c r="E387" s="103" t="s">
        <v>417</v>
      </c>
      <c r="F387" s="93"/>
      <c r="G387" s="118">
        <v>0</v>
      </c>
      <c r="H387" s="105" t="str">
        <f t="shared" si="74"/>
        <v>FI-JR-42-F-ZA</v>
      </c>
      <c r="I387" s="91" t="s">
        <v>1108</v>
      </c>
      <c r="J387" s="92" t="s">
        <v>513</v>
      </c>
      <c r="K387" s="118">
        <v>0</v>
      </c>
      <c r="L387" s="95"/>
      <c r="M387" s="95"/>
      <c r="N387" s="95"/>
      <c r="O387" s="95"/>
      <c r="P387" s="95"/>
      <c r="R387" s="89"/>
      <c r="T387" s="11" t="str">
        <f t="shared" si="77"/>
        <v>G</v>
      </c>
    </row>
    <row r="388" spans="2:20" x14ac:dyDescent="0.25">
      <c r="B388" s="90"/>
      <c r="C388" s="102" t="str">
        <f t="shared" si="73"/>
        <v>FI-JR-42-F-KE</v>
      </c>
      <c r="D388" s="91" t="s">
        <v>1101</v>
      </c>
      <c r="E388" s="103" t="s">
        <v>426</v>
      </c>
      <c r="F388" s="93"/>
      <c r="G388" s="118">
        <v>0</v>
      </c>
      <c r="H388" s="105" t="str">
        <f t="shared" si="74"/>
        <v>FI-JR-42-F-SS</v>
      </c>
      <c r="I388" s="91" t="s">
        <v>1089</v>
      </c>
      <c r="J388" s="92" t="s">
        <v>1088</v>
      </c>
      <c r="K388" s="117">
        <v>0</v>
      </c>
      <c r="L388" s="94"/>
      <c r="M388" s="95"/>
      <c r="N388" s="95"/>
      <c r="O388" s="95"/>
      <c r="P388" s="95"/>
      <c r="R388" s="89"/>
      <c r="T388" s="11" t="str">
        <f t="shared" si="77"/>
        <v>G</v>
      </c>
    </row>
    <row r="389" spans="2:20" ht="25.5" x14ac:dyDescent="0.25">
      <c r="B389" s="90"/>
      <c r="C389" s="102" t="str">
        <f t="shared" si="73"/>
        <v>FI-JR-42-F-KP</v>
      </c>
      <c r="D389" s="91" t="s">
        <v>1090</v>
      </c>
      <c r="E389" s="103" t="s">
        <v>428</v>
      </c>
      <c r="F389" s="96"/>
      <c r="G389" s="118">
        <v>0</v>
      </c>
      <c r="H389" s="105" t="str">
        <f t="shared" si="74"/>
        <v>FI-JR-42-F-SY</v>
      </c>
      <c r="I389" s="91" t="s">
        <v>1109</v>
      </c>
      <c r="J389" s="92" t="s">
        <v>523</v>
      </c>
      <c r="K389" s="117">
        <v>0</v>
      </c>
      <c r="L389" s="94"/>
      <c r="M389" s="95"/>
      <c r="N389" s="95"/>
      <c r="O389" s="95"/>
      <c r="P389" s="95"/>
      <c r="R389" s="89"/>
      <c r="T389" s="11" t="str">
        <f t="shared" si="77"/>
        <v>G</v>
      </c>
    </row>
    <row r="390" spans="2:20" x14ac:dyDescent="0.25">
      <c r="B390" s="90"/>
      <c r="C390" s="90"/>
      <c r="D390" s="112"/>
      <c r="E390" s="10"/>
      <c r="F390" s="10"/>
      <c r="G390" s="10"/>
      <c r="H390" s="10"/>
      <c r="I390" s="10"/>
      <c r="J390" s="10"/>
      <c r="K390" s="10"/>
      <c r="L390" s="10"/>
      <c r="M390" s="10"/>
      <c r="N390" s="10"/>
      <c r="O390" s="95"/>
      <c r="P390" s="95"/>
      <c r="R390" s="89"/>
      <c r="T390" s="11"/>
    </row>
    <row r="391" spans="2:20" ht="37.5" customHeight="1" x14ac:dyDescent="0.25">
      <c r="B391" s="15" t="s">
        <v>757</v>
      </c>
      <c r="D391" s="186" t="s">
        <v>882</v>
      </c>
      <c r="E391" s="186"/>
      <c r="F391" s="186"/>
      <c r="G391" s="186"/>
      <c r="H391" s="186"/>
      <c r="I391" s="186"/>
      <c r="J391" s="186"/>
      <c r="K391" s="186"/>
      <c r="L391" s="186"/>
      <c r="M391" s="186"/>
      <c r="N391" s="186"/>
      <c r="O391" s="186"/>
      <c r="P391" s="52"/>
      <c r="R391" s="10"/>
    </row>
    <row r="392" spans="2:20" ht="52.5" customHeight="1" x14ac:dyDescent="0.25">
      <c r="D392" s="190" t="s">
        <v>1349</v>
      </c>
      <c r="E392" s="190"/>
      <c r="F392" s="190"/>
      <c r="G392" s="190"/>
      <c r="H392" s="190"/>
      <c r="I392" s="190"/>
      <c r="J392" s="190"/>
      <c r="K392" s="190"/>
      <c r="L392" s="190"/>
      <c r="M392" s="190"/>
      <c r="N392" s="190"/>
      <c r="O392" s="190"/>
      <c r="P392" s="190"/>
      <c r="R392" s="101"/>
    </row>
    <row r="393" spans="2:20" ht="15" customHeight="1" x14ac:dyDescent="0.25">
      <c r="B393" s="46" t="str">
        <f>B391&amp;"-M"</f>
        <v>FI-JR-43-M</v>
      </c>
      <c r="C393" s="46"/>
      <c r="D393" s="84"/>
      <c r="E393" s="189" t="s">
        <v>448</v>
      </c>
      <c r="F393" s="189"/>
      <c r="G393" s="189"/>
      <c r="H393" s="189"/>
      <c r="I393" s="189"/>
      <c r="J393" s="189"/>
      <c r="K393" s="189"/>
      <c r="L393" s="189"/>
      <c r="M393" s="189"/>
      <c r="N393" s="189"/>
      <c r="O393" s="189"/>
      <c r="P393" s="111" t="s">
        <v>985</v>
      </c>
      <c r="R393" s="17"/>
      <c r="T393" s="11" t="str">
        <f>IF(OR(AND(ISBLANK(R393),PR.98&gt;0),AND(PR.98&lt;=0,NOT(ISBLANK(R393)))),"R","G")</f>
        <v>G</v>
      </c>
    </row>
    <row r="394" spans="2:20" ht="15" customHeight="1" x14ac:dyDescent="0.25">
      <c r="B394" s="46" t="str">
        <f>B391&amp;"-E"</f>
        <v>FI-JR-43-E</v>
      </c>
      <c r="C394" s="46"/>
      <c r="D394" s="84"/>
      <c r="E394" s="189" t="s">
        <v>1084</v>
      </c>
      <c r="F394" s="189"/>
      <c r="G394" s="189"/>
      <c r="H394" s="189"/>
      <c r="I394" s="189"/>
      <c r="J394" s="189"/>
      <c r="K394" s="189"/>
      <c r="L394" s="189"/>
      <c r="M394" s="189"/>
      <c r="N394" s="189"/>
      <c r="O394" s="189"/>
      <c r="P394" s="111" t="s">
        <v>985</v>
      </c>
      <c r="R394" s="17"/>
      <c r="T394" s="11" t="str">
        <f>IF(OR(AND(ISBLANK(R394),PR.98&gt;0),AND(PR.98&lt;=0,NOT(ISBLANK(R394)))),"R","G")</f>
        <v>G</v>
      </c>
    </row>
    <row r="395" spans="2:20" ht="15" customHeight="1" x14ac:dyDescent="0.25">
      <c r="B395" s="46" t="str">
        <f>B391&amp;"-N"</f>
        <v>FI-JR-43-N</v>
      </c>
      <c r="C395" s="46"/>
      <c r="D395" s="84"/>
      <c r="E395" s="189" t="s">
        <v>1085</v>
      </c>
      <c r="F395" s="189"/>
      <c r="G395" s="189"/>
      <c r="H395" s="189"/>
      <c r="I395" s="189"/>
      <c r="J395" s="189"/>
      <c r="K395" s="189"/>
      <c r="L395" s="189"/>
      <c r="M395" s="189"/>
      <c r="N395" s="189"/>
      <c r="O395" s="189"/>
      <c r="P395" s="111" t="s">
        <v>985</v>
      </c>
      <c r="R395" s="17"/>
      <c r="T395" s="11" t="str">
        <f>IF(OR(AND(ISBLANK(R395),PR.98&gt;0),AND(PR.98&lt;=0,NOT(ISBLANK(R395)))),"R","G")</f>
        <v>G</v>
      </c>
    </row>
    <row r="396" spans="2:20" ht="27" customHeight="1" x14ac:dyDescent="0.25">
      <c r="B396" s="46" t="str">
        <f>B391&amp;"-F"</f>
        <v>FI-JR-43-F</v>
      </c>
      <c r="C396" s="46"/>
      <c r="D396" s="84"/>
      <c r="E396" s="191" t="s">
        <v>1086</v>
      </c>
      <c r="F396" s="191"/>
      <c r="G396" s="191"/>
      <c r="H396" s="191"/>
      <c r="I396" s="191"/>
      <c r="J396" s="191"/>
      <c r="K396" s="191"/>
      <c r="L396" s="191"/>
      <c r="M396" s="191"/>
      <c r="N396" s="191"/>
      <c r="O396" s="191"/>
      <c r="P396" s="111" t="s">
        <v>985</v>
      </c>
      <c r="R396" s="17"/>
      <c r="T396" s="11" t="str">
        <f>IF(OR(AND(ISBLANK(R396),PR.98&gt;0),AND(PR.98&lt;=0,NOT(ISBLANK(R396)))),"R","G")</f>
        <v>G</v>
      </c>
    </row>
    <row r="397" spans="2:20" ht="9.75" customHeight="1" x14ac:dyDescent="0.25">
      <c r="B397" s="10"/>
      <c r="C397" s="10"/>
      <c r="D397" s="10"/>
      <c r="E397" s="10"/>
      <c r="F397" s="10"/>
      <c r="G397" s="10"/>
      <c r="H397" s="10"/>
      <c r="I397" s="10"/>
      <c r="J397" s="10"/>
      <c r="K397" s="10"/>
      <c r="L397" s="10"/>
      <c r="M397" s="10"/>
      <c r="N397" s="10"/>
      <c r="O397" s="10"/>
      <c r="P397" s="10"/>
      <c r="R397" s="10"/>
    </row>
    <row r="398" spans="2:20" ht="15" customHeight="1" x14ac:dyDescent="0.25">
      <c r="B398" s="87"/>
      <c r="C398" s="87"/>
      <c r="D398" s="192" t="str">
        <f>IF(R396=0,"",IF(SUM(G399:G411,K399:K411,O399:O405)=R396,"","The totals included next to each jurisdiction do not add up to "&amp;R396&amp;", please revise the figures."))</f>
        <v/>
      </c>
      <c r="E398" s="192"/>
      <c r="F398" s="192"/>
      <c r="G398" s="192"/>
      <c r="H398" s="192"/>
      <c r="I398" s="192"/>
      <c r="J398" s="192"/>
      <c r="K398" s="192"/>
      <c r="L398" s="192"/>
      <c r="M398" s="192"/>
      <c r="N398" s="192"/>
      <c r="O398" s="192"/>
      <c r="P398" s="88"/>
      <c r="R398" s="89"/>
      <c r="T398" s="11" t="str">
        <f>IF(D398="","G","R")</f>
        <v>G</v>
      </c>
    </row>
    <row r="399" spans="2:20" ht="25.5" x14ac:dyDescent="0.25">
      <c r="B399" s="90"/>
      <c r="C399" s="102" t="str">
        <f>$B$396&amp;"-"&amp;D399</f>
        <v>FI-JR-43-F-AF</v>
      </c>
      <c r="D399" s="91" t="s">
        <v>1093</v>
      </c>
      <c r="E399" s="103" t="s">
        <v>317</v>
      </c>
      <c r="F399" s="93"/>
      <c r="G399" s="118">
        <v>0</v>
      </c>
      <c r="H399" s="105" t="str">
        <f>$B$396&amp;"-"&amp;I399</f>
        <v>FI-JR-43-F-LA</v>
      </c>
      <c r="I399" s="91" t="s">
        <v>1317</v>
      </c>
      <c r="J399" s="92" t="s">
        <v>1312</v>
      </c>
      <c r="K399" s="118">
        <v>0</v>
      </c>
      <c r="L399" s="105" t="str">
        <f>$B$396&amp;"-"&amp;M399</f>
        <v>FI-JR-43-F-TZ</v>
      </c>
      <c r="M399" s="91" t="s">
        <v>1110</v>
      </c>
      <c r="N399" s="92" t="s">
        <v>526</v>
      </c>
      <c r="O399" s="117">
        <v>0</v>
      </c>
      <c r="P399" s="95"/>
      <c r="R399" s="89"/>
      <c r="T399" s="11" t="str">
        <f>IF(OR(AND(OR(ISBLANK(G399),ISBLANK(K399),ISBLANK(O399)),$R$396&gt;0),AND($R$396&lt;=0,OR(OR(G399&lt;&gt;0,K399&lt;&gt;0,O399&lt;&gt;0)))),"R","G")</f>
        <v>G</v>
      </c>
    </row>
    <row r="400" spans="2:20" x14ac:dyDescent="0.25">
      <c r="B400" s="90"/>
      <c r="C400" s="102" t="str">
        <f t="shared" ref="C400:C411" si="78">$B$396&amp;"-"&amp;D400</f>
        <v>FI-JR-43-F-DZ</v>
      </c>
      <c r="D400" s="91" t="s">
        <v>1094</v>
      </c>
      <c r="E400" s="103" t="s">
        <v>319</v>
      </c>
      <c r="F400" s="93"/>
      <c r="G400" s="118">
        <v>0</v>
      </c>
      <c r="H400" s="105" t="str">
        <f t="shared" ref="H400:H411" si="79">$B$396&amp;"-"&amp;I400</f>
        <v>FI-JR-43-F-LB</v>
      </c>
      <c r="I400" s="91" t="s">
        <v>1102</v>
      </c>
      <c r="J400" s="92" t="s">
        <v>434</v>
      </c>
      <c r="K400" s="118">
        <v>0</v>
      </c>
      <c r="L400" s="105" t="str">
        <f t="shared" ref="L400:L405" si="80">$B$396&amp;"-"&amp;M400</f>
        <v>FI-JR-43-F-TT</v>
      </c>
      <c r="M400" s="91" t="s">
        <v>1111</v>
      </c>
      <c r="N400" s="92" t="s">
        <v>532</v>
      </c>
      <c r="O400" s="117">
        <v>0</v>
      </c>
      <c r="P400" s="95"/>
      <c r="R400" s="89"/>
      <c r="T400" s="11" t="str">
        <f t="shared" ref="T400:T405" si="81">IF(OR(AND(OR(ISBLANK(G400),ISBLANK(K400),ISBLANK(O400)),$R$396&gt;0),AND($R$396&lt;=0,OR(OR(G400&lt;&gt;0,K400&lt;&gt;0,O400&lt;&gt;0)))),"R","G")</f>
        <v>G</v>
      </c>
    </row>
    <row r="401" spans="2:20" x14ac:dyDescent="0.25">
      <c r="B401" s="90"/>
      <c r="C401" s="102" t="str">
        <f>$B$396&amp;"-"&amp;D401</f>
        <v>FI-JR-43-F-AO</v>
      </c>
      <c r="D401" s="91" t="s">
        <v>1095</v>
      </c>
      <c r="E401" s="103" t="s">
        <v>322</v>
      </c>
      <c r="F401" s="93"/>
      <c r="G401" s="118">
        <v>0</v>
      </c>
      <c r="H401" s="105" t="str">
        <f t="shared" si="79"/>
        <v>FI-JR-43-F-ML</v>
      </c>
      <c r="I401" s="91" t="s">
        <v>1103</v>
      </c>
      <c r="J401" s="92" t="s">
        <v>447</v>
      </c>
      <c r="K401" s="118">
        <v>0</v>
      </c>
      <c r="L401" s="105" t="str">
        <f t="shared" si="80"/>
        <v>FI-JR-43-F-VU</v>
      </c>
      <c r="M401" s="91" t="s">
        <v>1112</v>
      </c>
      <c r="N401" s="92" t="s">
        <v>546</v>
      </c>
      <c r="O401" s="117">
        <v>0</v>
      </c>
      <c r="P401" s="95"/>
      <c r="R401" s="89"/>
      <c r="T401" s="11" t="str">
        <f t="shared" si="81"/>
        <v>G</v>
      </c>
    </row>
    <row r="402" spans="2:20" x14ac:dyDescent="0.25">
      <c r="B402" s="90"/>
      <c r="C402" s="102" t="str">
        <f t="shared" si="78"/>
        <v>FI-JR-43-F-BO</v>
      </c>
      <c r="D402" s="91" t="s">
        <v>1316</v>
      </c>
      <c r="E402" s="103" t="s">
        <v>342</v>
      </c>
      <c r="F402" s="93"/>
      <c r="G402" s="118">
        <v>0</v>
      </c>
      <c r="H402" s="105" t="str">
        <f t="shared" si="79"/>
        <v>FI-JR-43-F-MN</v>
      </c>
      <c r="I402" s="91" t="s">
        <v>1315</v>
      </c>
      <c r="J402" s="92" t="s">
        <v>457</v>
      </c>
      <c r="K402" s="118">
        <v>0</v>
      </c>
      <c r="L402" s="105" t="str">
        <f t="shared" si="80"/>
        <v>FI-JR-43-F-VE</v>
      </c>
      <c r="M402" s="91" t="s">
        <v>1113</v>
      </c>
      <c r="N402" s="92" t="s">
        <v>547</v>
      </c>
      <c r="O402" s="117">
        <v>0</v>
      </c>
      <c r="P402" s="95"/>
      <c r="R402" s="89"/>
      <c r="T402" s="11" t="str">
        <f t="shared" si="81"/>
        <v>G</v>
      </c>
    </row>
    <row r="403" spans="2:20" x14ac:dyDescent="0.25">
      <c r="B403" s="90"/>
      <c r="C403" s="102" t="str">
        <f t="shared" si="78"/>
        <v>FI-JR-43-F-BG</v>
      </c>
      <c r="D403" s="91" t="s">
        <v>1096</v>
      </c>
      <c r="E403" s="103" t="s">
        <v>349</v>
      </c>
      <c r="F403" s="93"/>
      <c r="G403" s="118">
        <v>0</v>
      </c>
      <c r="H403" s="105" t="str">
        <f t="shared" si="79"/>
        <v>FI-JR-43-F-MZ</v>
      </c>
      <c r="I403" s="91" t="s">
        <v>1104</v>
      </c>
      <c r="J403" s="92" t="s">
        <v>461</v>
      </c>
      <c r="K403" s="118">
        <v>0</v>
      </c>
      <c r="L403" s="105" t="str">
        <f t="shared" si="80"/>
        <v>FI-JR-43-F-VN</v>
      </c>
      <c r="M403" s="91" t="s">
        <v>1114</v>
      </c>
      <c r="N403" s="92" t="s">
        <v>1313</v>
      </c>
      <c r="O403" s="117">
        <v>0</v>
      </c>
      <c r="P403" s="95"/>
      <c r="R403" s="89"/>
      <c r="T403" s="11" t="str">
        <f t="shared" si="81"/>
        <v>G</v>
      </c>
    </row>
    <row r="404" spans="2:20" x14ac:dyDescent="0.25">
      <c r="B404" s="90"/>
      <c r="C404" s="102" t="str">
        <f t="shared" si="78"/>
        <v>FI-JR-43-F-BF</v>
      </c>
      <c r="D404" s="91" t="s">
        <v>1097</v>
      </c>
      <c r="E404" s="103" t="s">
        <v>350</v>
      </c>
      <c r="F404" s="93"/>
      <c r="G404" s="118">
        <v>0</v>
      </c>
      <c r="H404" s="105" t="str">
        <f t="shared" si="79"/>
        <v>FI-JR-43-F-MM</v>
      </c>
      <c r="I404" s="91" t="s">
        <v>1105</v>
      </c>
      <c r="J404" s="92" t="s">
        <v>462</v>
      </c>
      <c r="K404" s="118">
        <v>0</v>
      </c>
      <c r="L404" s="105" t="str">
        <f t="shared" si="80"/>
        <v>FI-JR-43-F-VI</v>
      </c>
      <c r="M404" s="91" t="s">
        <v>1319</v>
      </c>
      <c r="N404" s="92" t="s">
        <v>1314</v>
      </c>
      <c r="O404" s="117">
        <v>0</v>
      </c>
      <c r="P404" s="95"/>
      <c r="R404" s="89"/>
      <c r="T404" s="11" t="str">
        <f t="shared" si="81"/>
        <v>G</v>
      </c>
    </row>
    <row r="405" spans="2:20" x14ac:dyDescent="0.25">
      <c r="B405" s="90"/>
      <c r="C405" s="102" t="str">
        <f t="shared" si="78"/>
        <v>FI-JR-43-F-CM</v>
      </c>
      <c r="D405" s="91" t="s">
        <v>1098</v>
      </c>
      <c r="E405" s="103" t="s">
        <v>353</v>
      </c>
      <c r="F405" s="93"/>
      <c r="G405" s="118">
        <v>0</v>
      </c>
      <c r="H405" s="105" t="str">
        <f t="shared" si="79"/>
        <v>FI-JR-43-F-NA</v>
      </c>
      <c r="I405" s="91" t="s">
        <v>1106</v>
      </c>
      <c r="J405" s="92" t="s">
        <v>463</v>
      </c>
      <c r="K405" s="118">
        <v>0</v>
      </c>
      <c r="L405" s="105" t="str">
        <f t="shared" si="80"/>
        <v>FI-JR-43-F-YE</v>
      </c>
      <c r="M405" s="91" t="s">
        <v>1115</v>
      </c>
      <c r="N405" s="92" t="s">
        <v>553</v>
      </c>
      <c r="O405" s="117">
        <v>0</v>
      </c>
      <c r="P405" s="95"/>
      <c r="R405" s="89"/>
      <c r="T405" s="11" t="str">
        <f t="shared" si="81"/>
        <v>G</v>
      </c>
    </row>
    <row r="406" spans="2:20" ht="38.25" x14ac:dyDescent="0.25">
      <c r="B406" s="90"/>
      <c r="C406" s="102" t="str">
        <f t="shared" si="78"/>
        <v>FI-JR-43-F-CD</v>
      </c>
      <c r="D406" s="91" t="s">
        <v>1099</v>
      </c>
      <c r="E406" s="103" t="s">
        <v>366</v>
      </c>
      <c r="F406" s="93"/>
      <c r="G406" s="118">
        <v>0</v>
      </c>
      <c r="H406" s="105" t="str">
        <f t="shared" si="79"/>
        <v>FI-JR-43-F-NP</v>
      </c>
      <c r="I406" s="91" t="s">
        <v>1318</v>
      </c>
      <c r="J406" s="92" t="s">
        <v>465</v>
      </c>
      <c r="K406" s="118">
        <v>0</v>
      </c>
      <c r="L406" s="95"/>
      <c r="M406" s="95"/>
      <c r="N406" s="95"/>
      <c r="O406" s="95"/>
      <c r="P406" s="95"/>
      <c r="R406" s="89"/>
      <c r="T406" s="11" t="str">
        <f t="shared" ref="T406:T411" si="82">IF(OR(AND(OR(ISBLANK(G406),ISBLANK(K406)),$R$396&gt;0),AND($R$396&lt;=0,OR(OR(G406&lt;&gt;0,K406&lt;&gt;0)))),"R","G")</f>
        <v>G</v>
      </c>
    </row>
    <row r="407" spans="2:20" x14ac:dyDescent="0.25">
      <c r="B407" s="90"/>
      <c r="C407" s="102" t="str">
        <f t="shared" si="78"/>
        <v>FI-JR-43-F-CI</v>
      </c>
      <c r="D407" s="91" t="s">
        <v>1091</v>
      </c>
      <c r="E407" s="103" t="s">
        <v>369</v>
      </c>
      <c r="F407" s="93"/>
      <c r="G407" s="118">
        <v>0</v>
      </c>
      <c r="H407" s="105" t="str">
        <f t="shared" si="79"/>
        <v>FI-JR-43-F-NG</v>
      </c>
      <c r="I407" s="91" t="s">
        <v>1107</v>
      </c>
      <c r="J407" s="92" t="s">
        <v>472</v>
      </c>
      <c r="K407" s="118">
        <v>0</v>
      </c>
      <c r="L407" s="95"/>
      <c r="M407" s="95"/>
      <c r="N407" s="95"/>
      <c r="O407" s="95"/>
      <c r="P407" s="95"/>
      <c r="R407" s="89"/>
      <c r="T407" s="11" t="str">
        <f t="shared" si="82"/>
        <v>G</v>
      </c>
    </row>
    <row r="408" spans="2:20" x14ac:dyDescent="0.25">
      <c r="B408" s="90"/>
      <c r="C408" s="102" t="str">
        <f t="shared" si="78"/>
        <v>FI-JR-43-F-HT</v>
      </c>
      <c r="D408" s="91" t="s">
        <v>1100</v>
      </c>
      <c r="E408" s="103" t="s">
        <v>408</v>
      </c>
      <c r="F408" s="93"/>
      <c r="G408" s="118">
        <v>0</v>
      </c>
      <c r="H408" s="105" t="str">
        <f t="shared" si="79"/>
        <v>FI-JR-43-F-RU</v>
      </c>
      <c r="I408" s="91" t="s">
        <v>1321</v>
      </c>
      <c r="J408" s="92" t="s">
        <v>1320</v>
      </c>
      <c r="K408" s="118">
        <v>0</v>
      </c>
      <c r="L408" s="95"/>
      <c r="M408" s="95"/>
      <c r="N408" s="95"/>
      <c r="O408" s="95"/>
      <c r="P408" s="95"/>
      <c r="R408" s="89"/>
      <c r="T408" s="11" t="str">
        <f t="shared" si="82"/>
        <v>G</v>
      </c>
    </row>
    <row r="409" spans="2:20" ht="25.5" x14ac:dyDescent="0.25">
      <c r="B409" s="90"/>
      <c r="C409" s="102" t="str">
        <f t="shared" si="78"/>
        <v>FI-JR-43-F-IR</v>
      </c>
      <c r="D409" s="91" t="s">
        <v>912</v>
      </c>
      <c r="E409" s="103" t="s">
        <v>417</v>
      </c>
      <c r="F409" s="93"/>
      <c r="G409" s="118">
        <v>0</v>
      </c>
      <c r="H409" s="105" t="str">
        <f t="shared" si="79"/>
        <v>FI-JR-43-F-ZA</v>
      </c>
      <c r="I409" s="91" t="s">
        <v>1108</v>
      </c>
      <c r="J409" s="92" t="s">
        <v>513</v>
      </c>
      <c r="K409" s="118">
        <v>0</v>
      </c>
      <c r="L409" s="95"/>
      <c r="M409" s="95"/>
      <c r="N409" s="95"/>
      <c r="O409" s="95"/>
      <c r="P409" s="95"/>
      <c r="R409" s="89"/>
      <c r="T409" s="11" t="str">
        <f t="shared" si="82"/>
        <v>G</v>
      </c>
    </row>
    <row r="410" spans="2:20" x14ac:dyDescent="0.25">
      <c r="B410" s="90"/>
      <c r="C410" s="102" t="str">
        <f t="shared" si="78"/>
        <v>FI-JR-43-F-KE</v>
      </c>
      <c r="D410" s="91" t="s">
        <v>1101</v>
      </c>
      <c r="E410" s="103" t="s">
        <v>426</v>
      </c>
      <c r="F410" s="93"/>
      <c r="G410" s="118">
        <v>0</v>
      </c>
      <c r="H410" s="105" t="str">
        <f t="shared" si="79"/>
        <v>FI-JR-43-F-SS</v>
      </c>
      <c r="I410" s="91" t="s">
        <v>1089</v>
      </c>
      <c r="J410" s="92" t="s">
        <v>1088</v>
      </c>
      <c r="K410" s="117">
        <v>0</v>
      </c>
      <c r="L410" s="94"/>
      <c r="M410" s="95"/>
      <c r="N410" s="95"/>
      <c r="O410" s="95"/>
      <c r="P410" s="95"/>
      <c r="R410" s="89"/>
      <c r="T410" s="11" t="str">
        <f t="shared" si="82"/>
        <v>G</v>
      </c>
    </row>
    <row r="411" spans="2:20" ht="25.5" x14ac:dyDescent="0.25">
      <c r="B411" s="90"/>
      <c r="C411" s="102" t="str">
        <f t="shared" si="78"/>
        <v>FI-JR-43-F-KP</v>
      </c>
      <c r="D411" s="91" t="s">
        <v>1090</v>
      </c>
      <c r="E411" s="103" t="s">
        <v>428</v>
      </c>
      <c r="F411" s="96"/>
      <c r="G411" s="118">
        <v>0</v>
      </c>
      <c r="H411" s="105" t="str">
        <f t="shared" si="79"/>
        <v>FI-JR-43-F-SY</v>
      </c>
      <c r="I411" s="91" t="s">
        <v>1109</v>
      </c>
      <c r="J411" s="92" t="s">
        <v>523</v>
      </c>
      <c r="K411" s="117">
        <v>0</v>
      </c>
      <c r="L411" s="94"/>
      <c r="M411" s="95"/>
      <c r="N411" s="95"/>
      <c r="O411" s="95"/>
      <c r="P411" s="95"/>
      <c r="R411" s="89"/>
      <c r="T411" s="11" t="str">
        <f t="shared" si="82"/>
        <v>G</v>
      </c>
    </row>
    <row r="412" spans="2:20" x14ac:dyDescent="0.25">
      <c r="B412" s="90"/>
      <c r="C412" s="90"/>
      <c r="D412" s="112"/>
      <c r="E412" s="10"/>
      <c r="F412" s="10"/>
      <c r="G412" s="10"/>
      <c r="H412" s="10"/>
      <c r="I412" s="10"/>
      <c r="J412" s="10"/>
      <c r="K412" s="10"/>
      <c r="L412" s="10"/>
      <c r="M412" s="10"/>
      <c r="N412" s="10"/>
      <c r="O412" s="95"/>
      <c r="P412" s="95"/>
      <c r="R412" s="89"/>
      <c r="T412" s="11"/>
    </row>
    <row r="413" spans="2:20" ht="37.5" customHeight="1" x14ac:dyDescent="0.25">
      <c r="B413" s="15" t="s">
        <v>758</v>
      </c>
      <c r="D413" s="186" t="s">
        <v>883</v>
      </c>
      <c r="E413" s="186"/>
      <c r="F413" s="186"/>
      <c r="G413" s="186"/>
      <c r="H413" s="186"/>
      <c r="I413" s="186"/>
      <c r="J413" s="186"/>
      <c r="K413" s="186"/>
      <c r="L413" s="186"/>
      <c r="M413" s="186"/>
      <c r="N413" s="186"/>
      <c r="O413" s="186"/>
      <c r="P413" s="52"/>
      <c r="R413" s="10"/>
    </row>
    <row r="414" spans="2:20" ht="52.5" customHeight="1" x14ac:dyDescent="0.25">
      <c r="D414" s="190" t="s">
        <v>1349</v>
      </c>
      <c r="E414" s="190"/>
      <c r="F414" s="190"/>
      <c r="G414" s="190"/>
      <c r="H414" s="190"/>
      <c r="I414" s="190"/>
      <c r="J414" s="190"/>
      <c r="K414" s="190"/>
      <c r="L414" s="190"/>
      <c r="M414" s="190"/>
      <c r="N414" s="190"/>
      <c r="O414" s="190"/>
      <c r="P414" s="190"/>
      <c r="R414" s="101"/>
    </row>
    <row r="415" spans="2:20" ht="15" customHeight="1" x14ac:dyDescent="0.25">
      <c r="B415" s="46" t="str">
        <f>B413&amp;"-M"</f>
        <v>FI-JR-44-M</v>
      </c>
      <c r="C415" s="46"/>
      <c r="D415" s="84"/>
      <c r="E415" s="189" t="s">
        <v>448</v>
      </c>
      <c r="F415" s="189"/>
      <c r="G415" s="189"/>
      <c r="H415" s="189"/>
      <c r="I415" s="189"/>
      <c r="J415" s="189"/>
      <c r="K415" s="189"/>
      <c r="L415" s="189"/>
      <c r="M415" s="189"/>
      <c r="N415" s="189"/>
      <c r="O415" s="189"/>
      <c r="P415" s="111" t="s">
        <v>985</v>
      </c>
      <c r="R415" s="17"/>
      <c r="T415" s="11" t="str" cm="1">
        <f t="array" ref="T415">IF(OR(AND(ISBLANK(R415),PR.100&gt;0),AND(PR.100&lt;=0,NOT(ISBLANK(R415)))),"R","G")</f>
        <v>G</v>
      </c>
    </row>
    <row r="416" spans="2:20" ht="15" customHeight="1" x14ac:dyDescent="0.25">
      <c r="B416" s="46" t="str">
        <f>B413&amp;"-E"</f>
        <v>FI-JR-44-E</v>
      </c>
      <c r="C416" s="46"/>
      <c r="D416" s="84"/>
      <c r="E416" s="189" t="s">
        <v>1084</v>
      </c>
      <c r="F416" s="189"/>
      <c r="G416" s="189"/>
      <c r="H416" s="189"/>
      <c r="I416" s="189"/>
      <c r="J416" s="189"/>
      <c r="K416" s="189"/>
      <c r="L416" s="189"/>
      <c r="M416" s="189"/>
      <c r="N416" s="189"/>
      <c r="O416" s="189"/>
      <c r="P416" s="111" t="s">
        <v>985</v>
      </c>
      <c r="R416" s="17"/>
      <c r="T416" s="11" t="str" cm="1">
        <f t="array" ref="T416">IF(OR(AND(ISBLANK(R416),PR.100&gt;0),AND(PR.100&lt;=0,NOT(ISBLANK(R416)))),"R","G")</f>
        <v>G</v>
      </c>
    </row>
    <row r="417" spans="2:20" ht="15" customHeight="1" x14ac:dyDescent="0.25">
      <c r="B417" s="46" t="str">
        <f>B413&amp;"-N"</f>
        <v>FI-JR-44-N</v>
      </c>
      <c r="C417" s="46"/>
      <c r="D417" s="84"/>
      <c r="E417" s="189" t="s">
        <v>1085</v>
      </c>
      <c r="F417" s="189"/>
      <c r="G417" s="189"/>
      <c r="H417" s="189"/>
      <c r="I417" s="189"/>
      <c r="J417" s="189"/>
      <c r="K417" s="189"/>
      <c r="L417" s="189"/>
      <c r="M417" s="189"/>
      <c r="N417" s="189"/>
      <c r="O417" s="189"/>
      <c r="P417" s="111" t="s">
        <v>985</v>
      </c>
      <c r="R417" s="17"/>
      <c r="T417" s="11" t="str" cm="1">
        <f t="array" ref="T417">IF(OR(AND(ISBLANK(R417),PR.100&gt;0),AND(PR.100&lt;=0,NOT(ISBLANK(R417)))),"R","G")</f>
        <v>G</v>
      </c>
    </row>
    <row r="418" spans="2:20" ht="27" customHeight="1" x14ac:dyDescent="0.25">
      <c r="B418" s="46" t="str">
        <f>B413&amp;"-F"</f>
        <v>FI-JR-44-F</v>
      </c>
      <c r="C418" s="46"/>
      <c r="D418" s="84"/>
      <c r="E418" s="191" t="s">
        <v>1086</v>
      </c>
      <c r="F418" s="191"/>
      <c r="G418" s="191"/>
      <c r="H418" s="191"/>
      <c r="I418" s="191"/>
      <c r="J418" s="191"/>
      <c r="K418" s="191"/>
      <c r="L418" s="191"/>
      <c r="M418" s="191"/>
      <c r="N418" s="191"/>
      <c r="O418" s="191"/>
      <c r="P418" s="111" t="s">
        <v>985</v>
      </c>
      <c r="R418" s="17"/>
      <c r="T418" s="11" t="str" cm="1">
        <f t="array" ref="T418">IF(OR(AND(ISBLANK(R418),PR.100&gt;0),AND(PR.100&lt;=0,NOT(ISBLANK(R418)))),"R","G")</f>
        <v>G</v>
      </c>
    </row>
    <row r="419" spans="2:20" ht="9.75" customHeight="1" x14ac:dyDescent="0.25">
      <c r="B419" s="10"/>
      <c r="C419" s="10"/>
      <c r="D419" s="10"/>
      <c r="E419" s="10"/>
      <c r="F419" s="10"/>
      <c r="G419" s="10"/>
      <c r="H419" s="10"/>
      <c r="I419" s="10"/>
      <c r="J419" s="10"/>
      <c r="K419" s="10"/>
      <c r="L419" s="10"/>
      <c r="M419" s="10"/>
      <c r="N419" s="10"/>
      <c r="O419" s="10"/>
      <c r="P419" s="10"/>
      <c r="R419" s="10"/>
    </row>
    <row r="420" spans="2:20" ht="15" customHeight="1" x14ac:dyDescent="0.25">
      <c r="B420" s="87"/>
      <c r="C420" s="87"/>
      <c r="D420" s="192" t="str">
        <f>IF(R418=0,"",IF(SUM(G421:G433,K421:K433,O421:O427)=R418,"","The totals included next to each jurisdiction do not add up to "&amp;R418&amp;", please revise the figures."))</f>
        <v/>
      </c>
      <c r="E420" s="192"/>
      <c r="F420" s="192"/>
      <c r="G420" s="192"/>
      <c r="H420" s="192"/>
      <c r="I420" s="192"/>
      <c r="J420" s="192"/>
      <c r="K420" s="192"/>
      <c r="L420" s="192"/>
      <c r="M420" s="192"/>
      <c r="N420" s="192"/>
      <c r="O420" s="192"/>
      <c r="P420" s="88"/>
      <c r="R420" s="89"/>
      <c r="T420" s="11" t="str">
        <f>IF(D420="","G","R")</f>
        <v>G</v>
      </c>
    </row>
    <row r="421" spans="2:20" ht="25.5" x14ac:dyDescent="0.25">
      <c r="B421" s="90"/>
      <c r="C421" s="102" t="str">
        <f>$B$418&amp;"-"&amp;D421</f>
        <v>FI-JR-44-F-AF</v>
      </c>
      <c r="D421" s="91" t="s">
        <v>1093</v>
      </c>
      <c r="E421" s="103" t="s">
        <v>317</v>
      </c>
      <c r="F421" s="93"/>
      <c r="G421" s="118">
        <v>0</v>
      </c>
      <c r="H421" s="105" t="str">
        <f>$B$418&amp;"-"&amp;I421</f>
        <v>FI-JR-44-F-LA</v>
      </c>
      <c r="I421" s="91" t="s">
        <v>1317</v>
      </c>
      <c r="J421" s="92" t="s">
        <v>1312</v>
      </c>
      <c r="K421" s="118">
        <v>0</v>
      </c>
      <c r="L421" s="105" t="str">
        <f>$B$418&amp;"-"&amp;M421</f>
        <v>FI-JR-44-F-TZ</v>
      </c>
      <c r="M421" s="91" t="s">
        <v>1110</v>
      </c>
      <c r="N421" s="92" t="s">
        <v>526</v>
      </c>
      <c r="O421" s="117">
        <v>0</v>
      </c>
      <c r="P421" s="95"/>
      <c r="R421" s="89"/>
      <c r="T421" s="11" t="str">
        <f>IF(OR(AND(OR(ISBLANK(G421),ISBLANK(K421),ISBLANK(O421)),$R$418&gt;0),AND($R$418&lt;=0,OR(OR(G421&lt;&gt;0,K421&lt;&gt;0,O421&lt;&gt;0)))),"R","G")</f>
        <v>G</v>
      </c>
    </row>
    <row r="422" spans="2:20" x14ac:dyDescent="0.25">
      <c r="B422" s="90"/>
      <c r="C422" s="102" t="str">
        <f t="shared" ref="C422:C432" si="83">$B$418&amp;"-"&amp;D422</f>
        <v>FI-JR-44-F-DZ</v>
      </c>
      <c r="D422" s="91" t="s">
        <v>1094</v>
      </c>
      <c r="E422" s="103" t="s">
        <v>319</v>
      </c>
      <c r="F422" s="93"/>
      <c r="G422" s="118">
        <v>0</v>
      </c>
      <c r="H422" s="105" t="str">
        <f t="shared" ref="H422:H433" si="84">$B$418&amp;"-"&amp;I422</f>
        <v>FI-JR-44-F-LB</v>
      </c>
      <c r="I422" s="91" t="s">
        <v>1102</v>
      </c>
      <c r="J422" s="92" t="s">
        <v>434</v>
      </c>
      <c r="K422" s="118">
        <v>0</v>
      </c>
      <c r="L422" s="105" t="str">
        <f t="shared" ref="L422:L427" si="85">$B$418&amp;"-"&amp;M422</f>
        <v>FI-JR-44-F-TT</v>
      </c>
      <c r="M422" s="91" t="s">
        <v>1111</v>
      </c>
      <c r="N422" s="92" t="s">
        <v>532</v>
      </c>
      <c r="O422" s="117">
        <v>0</v>
      </c>
      <c r="P422" s="95"/>
      <c r="R422" s="89"/>
      <c r="T422" s="11" t="str">
        <f t="shared" ref="T422:T427" si="86">IF(OR(AND(OR(ISBLANK(G422),ISBLANK(K422),ISBLANK(O422)),$R$418&gt;0),AND($R$418&lt;=0,OR(OR(G422&lt;&gt;0,K422&lt;&gt;0,O422&lt;&gt;0)))),"R","G")</f>
        <v>G</v>
      </c>
    </row>
    <row r="423" spans="2:20" x14ac:dyDescent="0.25">
      <c r="B423" s="90"/>
      <c r="C423" s="102" t="str">
        <f t="shared" si="83"/>
        <v>FI-JR-44-F-AO</v>
      </c>
      <c r="D423" s="91" t="s">
        <v>1095</v>
      </c>
      <c r="E423" s="103" t="s">
        <v>322</v>
      </c>
      <c r="F423" s="93"/>
      <c r="G423" s="118">
        <v>0</v>
      </c>
      <c r="H423" s="105" t="str">
        <f t="shared" si="84"/>
        <v>FI-JR-44-F-ML</v>
      </c>
      <c r="I423" s="91" t="s">
        <v>1103</v>
      </c>
      <c r="J423" s="92" t="s">
        <v>447</v>
      </c>
      <c r="K423" s="118">
        <v>0</v>
      </c>
      <c r="L423" s="105" t="str">
        <f t="shared" si="85"/>
        <v>FI-JR-44-F-VU</v>
      </c>
      <c r="M423" s="91" t="s">
        <v>1112</v>
      </c>
      <c r="N423" s="92" t="s">
        <v>546</v>
      </c>
      <c r="O423" s="117">
        <v>0</v>
      </c>
      <c r="P423" s="95"/>
      <c r="R423" s="89"/>
      <c r="T423" s="11" t="str">
        <f t="shared" si="86"/>
        <v>G</v>
      </c>
    </row>
    <row r="424" spans="2:20" x14ac:dyDescent="0.25">
      <c r="B424" s="90"/>
      <c r="C424" s="102" t="str">
        <f t="shared" si="83"/>
        <v>FI-JR-44-F-BO</v>
      </c>
      <c r="D424" s="91" t="s">
        <v>1316</v>
      </c>
      <c r="E424" s="103" t="s">
        <v>342</v>
      </c>
      <c r="F424" s="93"/>
      <c r="G424" s="118">
        <v>0</v>
      </c>
      <c r="H424" s="105" t="str">
        <f t="shared" si="84"/>
        <v>FI-JR-44-F-MN</v>
      </c>
      <c r="I424" s="91" t="s">
        <v>1315</v>
      </c>
      <c r="J424" s="92" t="s">
        <v>457</v>
      </c>
      <c r="K424" s="118">
        <v>0</v>
      </c>
      <c r="L424" s="105" t="str">
        <f t="shared" si="85"/>
        <v>FI-JR-44-F-VE</v>
      </c>
      <c r="M424" s="91" t="s">
        <v>1113</v>
      </c>
      <c r="N424" s="92" t="s">
        <v>547</v>
      </c>
      <c r="O424" s="117">
        <v>0</v>
      </c>
      <c r="P424" s="95"/>
      <c r="R424" s="89"/>
      <c r="T424" s="11" t="str">
        <f t="shared" si="86"/>
        <v>G</v>
      </c>
    </row>
    <row r="425" spans="2:20" x14ac:dyDescent="0.25">
      <c r="B425" s="90"/>
      <c r="C425" s="102" t="str">
        <f>$B$418&amp;"-"&amp;D425</f>
        <v>FI-JR-44-F-BG</v>
      </c>
      <c r="D425" s="91" t="s">
        <v>1096</v>
      </c>
      <c r="E425" s="103" t="s">
        <v>349</v>
      </c>
      <c r="F425" s="93"/>
      <c r="G425" s="118">
        <v>0</v>
      </c>
      <c r="H425" s="105" t="str">
        <f t="shared" si="84"/>
        <v>FI-JR-44-F-MZ</v>
      </c>
      <c r="I425" s="91" t="s">
        <v>1104</v>
      </c>
      <c r="J425" s="92" t="s">
        <v>461</v>
      </c>
      <c r="K425" s="118">
        <v>0</v>
      </c>
      <c r="L425" s="105" t="str">
        <f t="shared" si="85"/>
        <v>FI-JR-44-F-VN</v>
      </c>
      <c r="M425" s="91" t="s">
        <v>1114</v>
      </c>
      <c r="N425" s="92" t="s">
        <v>1313</v>
      </c>
      <c r="O425" s="117">
        <v>0</v>
      </c>
      <c r="P425" s="95"/>
      <c r="R425" s="89"/>
      <c r="T425" s="11" t="str">
        <f t="shared" si="86"/>
        <v>G</v>
      </c>
    </row>
    <row r="426" spans="2:20" x14ac:dyDescent="0.25">
      <c r="B426" s="90"/>
      <c r="C426" s="102" t="str">
        <f t="shared" si="83"/>
        <v>FI-JR-44-F-BF</v>
      </c>
      <c r="D426" s="91" t="s">
        <v>1097</v>
      </c>
      <c r="E426" s="103" t="s">
        <v>350</v>
      </c>
      <c r="F426" s="93"/>
      <c r="G426" s="118">
        <v>0</v>
      </c>
      <c r="H426" s="105" t="str">
        <f t="shared" si="84"/>
        <v>FI-JR-44-F-MM</v>
      </c>
      <c r="I426" s="91" t="s">
        <v>1105</v>
      </c>
      <c r="J426" s="92" t="s">
        <v>462</v>
      </c>
      <c r="K426" s="118">
        <v>0</v>
      </c>
      <c r="L426" s="105" t="str">
        <f t="shared" si="85"/>
        <v>FI-JR-44-F-VI</v>
      </c>
      <c r="M426" s="91" t="s">
        <v>1319</v>
      </c>
      <c r="N426" s="92" t="s">
        <v>1314</v>
      </c>
      <c r="O426" s="117">
        <v>0</v>
      </c>
      <c r="P426" s="95"/>
      <c r="R426" s="89"/>
      <c r="T426" s="11" t="str">
        <f t="shared" si="86"/>
        <v>G</v>
      </c>
    </row>
    <row r="427" spans="2:20" x14ac:dyDescent="0.25">
      <c r="B427" s="90"/>
      <c r="C427" s="102" t="str">
        <f t="shared" si="83"/>
        <v>FI-JR-44-F-CM</v>
      </c>
      <c r="D427" s="91" t="s">
        <v>1098</v>
      </c>
      <c r="E427" s="103" t="s">
        <v>353</v>
      </c>
      <c r="F427" s="93"/>
      <c r="G427" s="118">
        <v>0</v>
      </c>
      <c r="H427" s="105" t="str">
        <f t="shared" si="84"/>
        <v>FI-JR-44-F-NA</v>
      </c>
      <c r="I427" s="91" t="s">
        <v>1106</v>
      </c>
      <c r="J427" s="92" t="s">
        <v>463</v>
      </c>
      <c r="K427" s="118">
        <v>0</v>
      </c>
      <c r="L427" s="105" t="str">
        <f t="shared" si="85"/>
        <v>FI-JR-44-F-YE</v>
      </c>
      <c r="M427" s="91" t="s">
        <v>1115</v>
      </c>
      <c r="N427" s="92" t="s">
        <v>553</v>
      </c>
      <c r="O427" s="117">
        <v>0</v>
      </c>
      <c r="P427" s="95"/>
      <c r="R427" s="89"/>
      <c r="T427" s="11" t="str">
        <f t="shared" si="86"/>
        <v>G</v>
      </c>
    </row>
    <row r="428" spans="2:20" ht="38.25" x14ac:dyDescent="0.25">
      <c r="B428" s="90"/>
      <c r="C428" s="102" t="str">
        <f t="shared" si="83"/>
        <v>FI-JR-44-F-CD</v>
      </c>
      <c r="D428" s="91" t="s">
        <v>1099</v>
      </c>
      <c r="E428" s="103" t="s">
        <v>366</v>
      </c>
      <c r="F428" s="93"/>
      <c r="G428" s="118">
        <v>0</v>
      </c>
      <c r="H428" s="105" t="str">
        <f t="shared" si="84"/>
        <v>FI-JR-44-F-NP</v>
      </c>
      <c r="I428" s="91" t="s">
        <v>1318</v>
      </c>
      <c r="J428" s="92" t="s">
        <v>465</v>
      </c>
      <c r="K428" s="118">
        <v>0</v>
      </c>
      <c r="L428" s="95"/>
      <c r="M428" s="95"/>
      <c r="N428" s="95"/>
      <c r="O428" s="95"/>
      <c r="P428" s="95"/>
      <c r="R428" s="89"/>
      <c r="T428" s="11" t="str">
        <f t="shared" ref="T428:T433" si="87">IF(OR(AND(OR(ISBLANK(G428),ISBLANK(K428)),$R$418&gt;0),AND($R$418&lt;=0,OR(OR(G428&lt;&gt;0,K428&lt;&gt;0)))),"R","G")</f>
        <v>G</v>
      </c>
    </row>
    <row r="429" spans="2:20" x14ac:dyDescent="0.25">
      <c r="B429" s="90"/>
      <c r="C429" s="102" t="str">
        <f t="shared" si="83"/>
        <v>FI-JR-44-F-CI</v>
      </c>
      <c r="D429" s="91" t="s">
        <v>1091</v>
      </c>
      <c r="E429" s="103" t="s">
        <v>369</v>
      </c>
      <c r="F429" s="93"/>
      <c r="G429" s="118">
        <v>0</v>
      </c>
      <c r="H429" s="105" t="str">
        <f t="shared" si="84"/>
        <v>FI-JR-44-F-NG</v>
      </c>
      <c r="I429" s="91" t="s">
        <v>1107</v>
      </c>
      <c r="J429" s="92" t="s">
        <v>472</v>
      </c>
      <c r="K429" s="118">
        <v>0</v>
      </c>
      <c r="L429" s="95"/>
      <c r="M429" s="95"/>
      <c r="N429" s="95"/>
      <c r="O429" s="95"/>
      <c r="P429" s="95"/>
      <c r="R429" s="89"/>
      <c r="T429" s="11" t="str">
        <f t="shared" si="87"/>
        <v>G</v>
      </c>
    </row>
    <row r="430" spans="2:20" x14ac:dyDescent="0.25">
      <c r="B430" s="90"/>
      <c r="C430" s="102" t="str">
        <f t="shared" si="83"/>
        <v>FI-JR-44-F-HT</v>
      </c>
      <c r="D430" s="91" t="s">
        <v>1100</v>
      </c>
      <c r="E430" s="103" t="s">
        <v>408</v>
      </c>
      <c r="F430" s="93"/>
      <c r="G430" s="118">
        <v>0</v>
      </c>
      <c r="H430" s="105" t="str">
        <f t="shared" si="84"/>
        <v>FI-JR-44-F-RU</v>
      </c>
      <c r="I430" s="91" t="s">
        <v>1321</v>
      </c>
      <c r="J430" s="92" t="s">
        <v>1320</v>
      </c>
      <c r="K430" s="118">
        <v>0</v>
      </c>
      <c r="L430" s="95"/>
      <c r="M430" s="95"/>
      <c r="N430" s="95"/>
      <c r="O430" s="95"/>
      <c r="P430" s="95"/>
      <c r="R430" s="89"/>
      <c r="T430" s="11" t="str">
        <f t="shared" si="87"/>
        <v>G</v>
      </c>
    </row>
    <row r="431" spans="2:20" ht="25.5" x14ac:dyDescent="0.25">
      <c r="B431" s="90"/>
      <c r="C431" s="102" t="str">
        <f t="shared" si="83"/>
        <v>FI-JR-44-F-IR</v>
      </c>
      <c r="D431" s="91" t="s">
        <v>912</v>
      </c>
      <c r="E431" s="103" t="s">
        <v>417</v>
      </c>
      <c r="F431" s="93"/>
      <c r="G431" s="118">
        <v>0</v>
      </c>
      <c r="H431" s="105" t="str">
        <f t="shared" si="84"/>
        <v>FI-JR-44-F-ZA</v>
      </c>
      <c r="I431" s="91" t="s">
        <v>1108</v>
      </c>
      <c r="J431" s="92" t="s">
        <v>513</v>
      </c>
      <c r="K431" s="118">
        <v>0</v>
      </c>
      <c r="L431" s="95"/>
      <c r="M431" s="95"/>
      <c r="N431" s="95"/>
      <c r="O431" s="95"/>
      <c r="P431" s="95"/>
      <c r="R431" s="89"/>
      <c r="T431" s="11" t="str">
        <f t="shared" si="87"/>
        <v>G</v>
      </c>
    </row>
    <row r="432" spans="2:20" x14ac:dyDescent="0.25">
      <c r="B432" s="90"/>
      <c r="C432" s="102" t="str">
        <f t="shared" si="83"/>
        <v>FI-JR-44-F-KE</v>
      </c>
      <c r="D432" s="91" t="s">
        <v>1101</v>
      </c>
      <c r="E432" s="103" t="s">
        <v>426</v>
      </c>
      <c r="F432" s="93"/>
      <c r="G432" s="118">
        <v>0</v>
      </c>
      <c r="H432" s="105" t="str">
        <f t="shared" si="84"/>
        <v>FI-JR-44-F-SS</v>
      </c>
      <c r="I432" s="91" t="s">
        <v>1089</v>
      </c>
      <c r="J432" s="92" t="s">
        <v>1088</v>
      </c>
      <c r="K432" s="117">
        <v>0</v>
      </c>
      <c r="L432" s="94"/>
      <c r="M432" s="95"/>
      <c r="N432" s="95"/>
      <c r="O432" s="95"/>
      <c r="P432" s="95"/>
      <c r="R432" s="89"/>
      <c r="T432" s="11" t="str">
        <f t="shared" si="87"/>
        <v>G</v>
      </c>
    </row>
    <row r="433" spans="2:20" ht="25.5" x14ac:dyDescent="0.25">
      <c r="B433" s="90"/>
      <c r="C433" s="102" t="str">
        <f>$B$418&amp;"-"&amp;D433</f>
        <v>FI-JR-44-F-KP</v>
      </c>
      <c r="D433" s="91" t="s">
        <v>1090</v>
      </c>
      <c r="E433" s="103" t="s">
        <v>428</v>
      </c>
      <c r="F433" s="96"/>
      <c r="G433" s="118">
        <v>0</v>
      </c>
      <c r="H433" s="105" t="str">
        <f t="shared" si="84"/>
        <v>FI-JR-44-F-SY</v>
      </c>
      <c r="I433" s="91" t="s">
        <v>1109</v>
      </c>
      <c r="J433" s="92" t="s">
        <v>523</v>
      </c>
      <c r="K433" s="117">
        <v>0</v>
      </c>
      <c r="L433" s="94"/>
      <c r="M433" s="95"/>
      <c r="N433" s="95"/>
      <c r="O433" s="95"/>
      <c r="P433" s="95"/>
      <c r="R433" s="89"/>
      <c r="T433" s="11" t="str">
        <f t="shared" si="87"/>
        <v>G</v>
      </c>
    </row>
    <row r="434" spans="2:20" x14ac:dyDescent="0.25">
      <c r="B434" s="90"/>
      <c r="C434" s="90"/>
      <c r="D434" s="112"/>
      <c r="E434" s="10"/>
      <c r="F434" s="10"/>
      <c r="G434" s="10"/>
      <c r="H434" s="10"/>
      <c r="I434" s="10"/>
      <c r="J434" s="10"/>
      <c r="K434" s="10"/>
      <c r="L434" s="10"/>
      <c r="M434" s="10"/>
      <c r="N434" s="10"/>
      <c r="O434" s="95"/>
      <c r="P434" s="95"/>
      <c r="R434" s="89"/>
      <c r="T434" s="11"/>
    </row>
    <row r="435" spans="2:20" ht="37.5" customHeight="1" x14ac:dyDescent="0.25">
      <c r="B435" s="15" t="s">
        <v>759</v>
      </c>
      <c r="D435" s="186" t="s">
        <v>1155</v>
      </c>
      <c r="E435" s="186"/>
      <c r="F435" s="186"/>
      <c r="G435" s="186"/>
      <c r="H435" s="186"/>
      <c r="I435" s="186"/>
      <c r="J435" s="186"/>
      <c r="K435" s="186"/>
      <c r="L435" s="186"/>
      <c r="M435" s="186"/>
      <c r="N435" s="186"/>
      <c r="O435" s="186"/>
      <c r="P435" s="52"/>
      <c r="R435" s="10"/>
    </row>
    <row r="436" spans="2:20" ht="52.5" customHeight="1" x14ac:dyDescent="0.25">
      <c r="D436" s="190" t="s">
        <v>1349</v>
      </c>
      <c r="E436" s="190"/>
      <c r="F436" s="190"/>
      <c r="G436" s="190"/>
      <c r="H436" s="190"/>
      <c r="I436" s="190"/>
      <c r="J436" s="190"/>
      <c r="K436" s="190"/>
      <c r="L436" s="190"/>
      <c r="M436" s="190"/>
      <c r="N436" s="190"/>
      <c r="O436" s="190"/>
      <c r="P436" s="190"/>
      <c r="R436" s="101"/>
    </row>
    <row r="437" spans="2:20" ht="15" customHeight="1" x14ac:dyDescent="0.25">
      <c r="B437" s="46" t="str">
        <f>B435&amp;"-M"</f>
        <v>FI-JR-45-M</v>
      </c>
      <c r="C437" s="46"/>
      <c r="D437" s="84"/>
      <c r="E437" s="189" t="s">
        <v>448</v>
      </c>
      <c r="F437" s="189"/>
      <c r="G437" s="189"/>
      <c r="H437" s="189"/>
      <c r="I437" s="189"/>
      <c r="J437" s="189"/>
      <c r="K437" s="189"/>
      <c r="L437" s="189"/>
      <c r="M437" s="189"/>
      <c r="N437" s="189"/>
      <c r="O437" s="189"/>
      <c r="P437" s="52"/>
      <c r="R437" s="67"/>
      <c r="T437" s="11" t="str">
        <f>IF(OR(AND(ISBLANK(R437),PR.116="Yes"),AND(PR.116&lt;&gt;"Yes",NOT(ISBLANK(R437)))),"R","G")</f>
        <v>G</v>
      </c>
    </row>
    <row r="438" spans="2:20" ht="15" customHeight="1" x14ac:dyDescent="0.25">
      <c r="B438" s="46" t="str">
        <f>B435&amp;"-E"</f>
        <v>FI-JR-45-E</v>
      </c>
      <c r="C438" s="46"/>
      <c r="D438" s="84"/>
      <c r="E438" s="189" t="s">
        <v>1084</v>
      </c>
      <c r="F438" s="189"/>
      <c r="G438" s="189"/>
      <c r="H438" s="189"/>
      <c r="I438" s="189"/>
      <c r="J438" s="189"/>
      <c r="K438" s="189"/>
      <c r="L438" s="189"/>
      <c r="M438" s="189"/>
      <c r="N438" s="189"/>
      <c r="O438" s="189"/>
      <c r="P438" s="52"/>
      <c r="R438" s="67"/>
      <c r="T438" s="11" t="str">
        <f>IF(OR(AND(ISBLANK(R438),PR.116="Yes"),AND(PR.116&lt;&gt;"Yes",NOT(ISBLANK(R438)))),"R","G")</f>
        <v>G</v>
      </c>
    </row>
    <row r="439" spans="2:20" ht="15" customHeight="1" x14ac:dyDescent="0.25">
      <c r="B439" s="46" t="str">
        <f>B435&amp;"-N"</f>
        <v>FI-JR-45-N</v>
      </c>
      <c r="C439" s="46"/>
      <c r="D439" s="84"/>
      <c r="E439" s="189" t="s">
        <v>1085</v>
      </c>
      <c r="F439" s="189"/>
      <c r="G439" s="189"/>
      <c r="H439" s="189"/>
      <c r="I439" s="189"/>
      <c r="J439" s="189"/>
      <c r="K439" s="189"/>
      <c r="L439" s="189"/>
      <c r="M439" s="189"/>
      <c r="N439" s="189"/>
      <c r="O439" s="189"/>
      <c r="P439" s="52"/>
      <c r="R439" s="67"/>
      <c r="T439" s="11" t="str">
        <f>IF(OR(AND(ISBLANK(R439),PR.116="Yes"),AND(PR.116&lt;&gt;"Yes",NOT(ISBLANK(R439)))),"R","G")</f>
        <v>G</v>
      </c>
    </row>
    <row r="440" spans="2:20" ht="27" customHeight="1" x14ac:dyDescent="0.25">
      <c r="B440" s="46" t="str">
        <f>B435&amp;"-F"</f>
        <v>FI-JR-45-F</v>
      </c>
      <c r="C440" s="46"/>
      <c r="D440" s="84"/>
      <c r="E440" s="191" t="s">
        <v>1086</v>
      </c>
      <c r="F440" s="191"/>
      <c r="G440" s="191"/>
      <c r="H440" s="191"/>
      <c r="I440" s="191"/>
      <c r="J440" s="191"/>
      <c r="K440" s="191"/>
      <c r="L440" s="191"/>
      <c r="M440" s="191"/>
      <c r="N440" s="191"/>
      <c r="O440" s="191"/>
      <c r="P440" s="86"/>
      <c r="R440" s="67"/>
      <c r="T440" s="11" t="str">
        <f>IF(OR(AND(ISBLANK(R440),PR.116="Yes"),AND(PR.116&lt;&gt;"Yes",NOT(ISBLANK(R440)))),"R","G")</f>
        <v>G</v>
      </c>
    </row>
    <row r="441" spans="2:20" ht="9.75" customHeight="1" x14ac:dyDescent="0.25">
      <c r="B441" s="10"/>
      <c r="C441" s="10"/>
      <c r="D441" s="10"/>
      <c r="E441" s="10"/>
      <c r="F441" s="10"/>
      <c r="G441" s="10"/>
      <c r="H441" s="10"/>
      <c r="I441" s="10"/>
      <c r="J441" s="10"/>
      <c r="K441" s="10"/>
      <c r="L441" s="10"/>
      <c r="M441" s="10"/>
      <c r="N441" s="10"/>
      <c r="O441" s="10"/>
      <c r="P441" s="10"/>
      <c r="R441" s="10"/>
    </row>
    <row r="442" spans="2:20" ht="15" customHeight="1" x14ac:dyDescent="0.25">
      <c r="B442" s="87"/>
      <c r="C442" s="87"/>
      <c r="D442" s="192" t="str">
        <f>IF(R440=0,"",IF(SUM(G443:G455,K443:K455,O443:O449)=R440,"","The totals included next to each jurisdiction do not add up to "&amp;R440&amp;", please revise the figures."))</f>
        <v/>
      </c>
      <c r="E442" s="192"/>
      <c r="F442" s="192"/>
      <c r="G442" s="192"/>
      <c r="H442" s="192"/>
      <c r="I442" s="192"/>
      <c r="J442" s="192"/>
      <c r="K442" s="192"/>
      <c r="L442" s="192"/>
      <c r="M442" s="192"/>
      <c r="N442" s="192"/>
      <c r="O442" s="192"/>
      <c r="P442" s="88"/>
      <c r="R442" s="89"/>
      <c r="T442" s="11" t="str">
        <f>IF(D442="","G","R")</f>
        <v>G</v>
      </c>
    </row>
    <row r="443" spans="2:20" ht="25.5" x14ac:dyDescent="0.25">
      <c r="B443" s="90"/>
      <c r="C443" s="102" t="str">
        <f>$B$440&amp;"-"&amp;D443</f>
        <v>FI-JR-45-F-AF</v>
      </c>
      <c r="D443" s="91" t="s">
        <v>1093</v>
      </c>
      <c r="E443" s="103" t="s">
        <v>317</v>
      </c>
      <c r="F443" s="93"/>
      <c r="G443" s="116">
        <v>0</v>
      </c>
      <c r="H443" s="105" t="str">
        <f>$B$440&amp;"-"&amp;I443</f>
        <v>FI-JR-45-F-LA</v>
      </c>
      <c r="I443" s="91" t="s">
        <v>1317</v>
      </c>
      <c r="J443" s="92" t="s">
        <v>1312</v>
      </c>
      <c r="K443" s="116">
        <v>0</v>
      </c>
      <c r="L443" s="105" t="str">
        <f>$B$440&amp;"-"&amp;M443</f>
        <v>FI-JR-45-F-TZ</v>
      </c>
      <c r="M443" s="91" t="s">
        <v>1110</v>
      </c>
      <c r="N443" s="92" t="s">
        <v>526</v>
      </c>
      <c r="O443" s="99">
        <v>0</v>
      </c>
      <c r="P443" s="95"/>
      <c r="R443" s="89"/>
      <c r="T443" s="11" t="str">
        <f>IF(OR(AND(OR(ISBLANK(G443),ISBLANK(K443),ISBLANK(O443)),$R$440&gt;0),AND($R$440&lt;=0,OR(OR(G443&lt;&gt;0,K443&lt;&gt;0,O443&lt;&gt;0)))),"R","G")</f>
        <v>G</v>
      </c>
    </row>
    <row r="444" spans="2:20" x14ac:dyDescent="0.25">
      <c r="B444" s="90"/>
      <c r="C444" s="102" t="str">
        <f t="shared" ref="C444:C455" si="88">$B$440&amp;"-"&amp;D444</f>
        <v>FI-JR-45-F-DZ</v>
      </c>
      <c r="D444" s="91" t="s">
        <v>1094</v>
      </c>
      <c r="E444" s="103" t="s">
        <v>319</v>
      </c>
      <c r="F444" s="93"/>
      <c r="G444" s="116">
        <v>0</v>
      </c>
      <c r="H444" s="105" t="str">
        <f t="shared" ref="H444:H455" si="89">$B$440&amp;"-"&amp;I444</f>
        <v>FI-JR-45-F-LB</v>
      </c>
      <c r="I444" s="91" t="s">
        <v>1102</v>
      </c>
      <c r="J444" s="92" t="s">
        <v>434</v>
      </c>
      <c r="K444" s="116">
        <v>0</v>
      </c>
      <c r="L444" s="105" t="str">
        <f t="shared" ref="L444:L449" si="90">$B$440&amp;"-"&amp;M444</f>
        <v>FI-JR-45-F-TT</v>
      </c>
      <c r="M444" s="91" t="s">
        <v>1111</v>
      </c>
      <c r="N444" s="92" t="s">
        <v>532</v>
      </c>
      <c r="O444" s="99">
        <v>0</v>
      </c>
      <c r="P444" s="95"/>
      <c r="R444" s="89"/>
      <c r="T444" s="11" t="str">
        <f t="shared" ref="T444:T449" si="91">IF(OR(AND(OR(ISBLANK(G444),ISBLANK(K444),ISBLANK(O444)),$R$440&gt;0),AND($R$440&lt;=0,OR(OR(G444&lt;&gt;0,K444&lt;&gt;0,O444&lt;&gt;0)))),"R","G")</f>
        <v>G</v>
      </c>
    </row>
    <row r="445" spans="2:20" x14ac:dyDescent="0.25">
      <c r="B445" s="90"/>
      <c r="C445" s="102" t="str">
        <f t="shared" si="88"/>
        <v>FI-JR-45-F-AO</v>
      </c>
      <c r="D445" s="91" t="s">
        <v>1095</v>
      </c>
      <c r="E445" s="103" t="s">
        <v>322</v>
      </c>
      <c r="F445" s="93"/>
      <c r="G445" s="116">
        <v>0</v>
      </c>
      <c r="H445" s="105" t="str">
        <f t="shared" si="89"/>
        <v>FI-JR-45-F-ML</v>
      </c>
      <c r="I445" s="91" t="s">
        <v>1103</v>
      </c>
      <c r="J445" s="92" t="s">
        <v>447</v>
      </c>
      <c r="K445" s="116">
        <v>0</v>
      </c>
      <c r="L445" s="105" t="str">
        <f t="shared" si="90"/>
        <v>FI-JR-45-F-VU</v>
      </c>
      <c r="M445" s="91" t="s">
        <v>1112</v>
      </c>
      <c r="N445" s="92" t="s">
        <v>546</v>
      </c>
      <c r="O445" s="99">
        <v>0</v>
      </c>
      <c r="P445" s="95"/>
      <c r="R445" s="89"/>
      <c r="T445" s="11" t="str">
        <f t="shared" si="91"/>
        <v>G</v>
      </c>
    </row>
    <row r="446" spans="2:20" x14ac:dyDescent="0.25">
      <c r="B446" s="90"/>
      <c r="C446" s="102" t="str">
        <f t="shared" si="88"/>
        <v>FI-JR-45-F-BO</v>
      </c>
      <c r="D446" s="91" t="s">
        <v>1316</v>
      </c>
      <c r="E446" s="103" t="s">
        <v>342</v>
      </c>
      <c r="F446" s="93"/>
      <c r="G446" s="116">
        <v>0</v>
      </c>
      <c r="H446" s="105" t="str">
        <f t="shared" si="89"/>
        <v>FI-JR-45-F-MN</v>
      </c>
      <c r="I446" s="91" t="s">
        <v>1315</v>
      </c>
      <c r="J446" s="92" t="s">
        <v>457</v>
      </c>
      <c r="K446" s="116">
        <v>0</v>
      </c>
      <c r="L446" s="105" t="str">
        <f t="shared" si="90"/>
        <v>FI-JR-45-F-VE</v>
      </c>
      <c r="M446" s="91" t="s">
        <v>1113</v>
      </c>
      <c r="N446" s="92" t="s">
        <v>547</v>
      </c>
      <c r="O446" s="99">
        <v>0</v>
      </c>
      <c r="P446" s="95"/>
      <c r="R446" s="89"/>
      <c r="T446" s="11" t="str">
        <f t="shared" si="91"/>
        <v>G</v>
      </c>
    </row>
    <row r="447" spans="2:20" x14ac:dyDescent="0.25">
      <c r="B447" s="90"/>
      <c r="C447" s="102" t="str">
        <f t="shared" si="88"/>
        <v>FI-JR-45-F-BG</v>
      </c>
      <c r="D447" s="91" t="s">
        <v>1096</v>
      </c>
      <c r="E447" s="103" t="s">
        <v>349</v>
      </c>
      <c r="F447" s="93"/>
      <c r="G447" s="116">
        <v>0</v>
      </c>
      <c r="H447" s="105" t="str">
        <f t="shared" si="89"/>
        <v>FI-JR-45-F-MZ</v>
      </c>
      <c r="I447" s="91" t="s">
        <v>1104</v>
      </c>
      <c r="J447" s="92" t="s">
        <v>461</v>
      </c>
      <c r="K447" s="116">
        <v>0</v>
      </c>
      <c r="L447" s="105" t="str">
        <f t="shared" si="90"/>
        <v>FI-JR-45-F-VN</v>
      </c>
      <c r="M447" s="91" t="s">
        <v>1114</v>
      </c>
      <c r="N447" s="92" t="s">
        <v>1313</v>
      </c>
      <c r="O447" s="99">
        <v>0</v>
      </c>
      <c r="P447" s="95"/>
      <c r="R447" s="89"/>
      <c r="T447" s="11" t="str">
        <f t="shared" si="91"/>
        <v>G</v>
      </c>
    </row>
    <row r="448" spans="2:20" x14ac:dyDescent="0.25">
      <c r="B448" s="90"/>
      <c r="C448" s="102" t="str">
        <f t="shared" si="88"/>
        <v>FI-JR-45-F-BF</v>
      </c>
      <c r="D448" s="91" t="s">
        <v>1097</v>
      </c>
      <c r="E448" s="103" t="s">
        <v>350</v>
      </c>
      <c r="F448" s="93"/>
      <c r="G448" s="116">
        <v>0</v>
      </c>
      <c r="H448" s="105" t="str">
        <f t="shared" si="89"/>
        <v>FI-JR-45-F-MM</v>
      </c>
      <c r="I448" s="91" t="s">
        <v>1105</v>
      </c>
      <c r="J448" s="92" t="s">
        <v>462</v>
      </c>
      <c r="K448" s="116">
        <v>0</v>
      </c>
      <c r="L448" s="105" t="str">
        <f t="shared" si="90"/>
        <v>FI-JR-45-F-VI</v>
      </c>
      <c r="M448" s="91" t="s">
        <v>1319</v>
      </c>
      <c r="N448" s="92" t="s">
        <v>1314</v>
      </c>
      <c r="O448" s="99">
        <v>0</v>
      </c>
      <c r="P448" s="95"/>
      <c r="R448" s="89"/>
      <c r="T448" s="11" t="str">
        <f t="shared" si="91"/>
        <v>G</v>
      </c>
    </row>
    <row r="449" spans="2:20" x14ac:dyDescent="0.25">
      <c r="B449" s="90"/>
      <c r="C449" s="102" t="str">
        <f t="shared" si="88"/>
        <v>FI-JR-45-F-CM</v>
      </c>
      <c r="D449" s="91" t="s">
        <v>1098</v>
      </c>
      <c r="E449" s="103" t="s">
        <v>353</v>
      </c>
      <c r="F449" s="93"/>
      <c r="G449" s="116">
        <v>0</v>
      </c>
      <c r="H449" s="105" t="str">
        <f t="shared" si="89"/>
        <v>FI-JR-45-F-NA</v>
      </c>
      <c r="I449" s="91" t="s">
        <v>1106</v>
      </c>
      <c r="J449" s="92" t="s">
        <v>463</v>
      </c>
      <c r="K449" s="116">
        <v>0</v>
      </c>
      <c r="L449" s="105" t="str">
        <f t="shared" si="90"/>
        <v>FI-JR-45-F-YE</v>
      </c>
      <c r="M449" s="91" t="s">
        <v>1115</v>
      </c>
      <c r="N449" s="92" t="s">
        <v>553</v>
      </c>
      <c r="O449" s="99">
        <v>0</v>
      </c>
      <c r="P449" s="95"/>
      <c r="R449" s="89"/>
      <c r="T449" s="11" t="str">
        <f t="shared" si="91"/>
        <v>G</v>
      </c>
    </row>
    <row r="450" spans="2:20" ht="38.25" x14ac:dyDescent="0.25">
      <c r="B450" s="90"/>
      <c r="C450" s="102" t="str">
        <f t="shared" si="88"/>
        <v>FI-JR-45-F-CD</v>
      </c>
      <c r="D450" s="91" t="s">
        <v>1099</v>
      </c>
      <c r="E450" s="103" t="s">
        <v>366</v>
      </c>
      <c r="F450" s="93"/>
      <c r="G450" s="116">
        <v>0</v>
      </c>
      <c r="H450" s="105" t="str">
        <f t="shared" si="89"/>
        <v>FI-JR-45-F-NP</v>
      </c>
      <c r="I450" s="91" t="s">
        <v>1318</v>
      </c>
      <c r="J450" s="92" t="s">
        <v>465</v>
      </c>
      <c r="K450" s="116">
        <v>0</v>
      </c>
      <c r="L450" s="89"/>
      <c r="M450" s="89"/>
      <c r="N450" s="89"/>
      <c r="O450" s="89"/>
      <c r="P450" s="95"/>
      <c r="R450" s="89"/>
      <c r="T450" s="11" t="str">
        <f t="shared" ref="T450:T455" si="92">IF(OR(AND(OR(ISBLANK(G450),ISBLANK(K450)),$R$440&gt;0),AND($R$440&lt;=0,OR(OR(G450&lt;&gt;0,K450&lt;&gt;0)))),"R","G")</f>
        <v>G</v>
      </c>
    </row>
    <row r="451" spans="2:20" x14ac:dyDescent="0.25">
      <c r="B451" s="90"/>
      <c r="C451" s="102" t="str">
        <f t="shared" si="88"/>
        <v>FI-JR-45-F-CI</v>
      </c>
      <c r="D451" s="91" t="s">
        <v>1091</v>
      </c>
      <c r="E451" s="103" t="s">
        <v>369</v>
      </c>
      <c r="F451" s="93"/>
      <c r="G451" s="116">
        <v>0</v>
      </c>
      <c r="H451" s="105" t="str">
        <f t="shared" si="89"/>
        <v>FI-JR-45-F-NG</v>
      </c>
      <c r="I451" s="91" t="s">
        <v>1107</v>
      </c>
      <c r="J451" s="92" t="s">
        <v>472</v>
      </c>
      <c r="K451" s="116">
        <v>0</v>
      </c>
      <c r="L451" s="89"/>
      <c r="M451" s="89"/>
      <c r="N451" s="89"/>
      <c r="O451" s="89"/>
      <c r="P451" s="95"/>
      <c r="R451" s="89"/>
      <c r="T451" s="11" t="str">
        <f t="shared" si="92"/>
        <v>G</v>
      </c>
    </row>
    <row r="452" spans="2:20" x14ac:dyDescent="0.25">
      <c r="B452" s="90"/>
      <c r="C452" s="102" t="str">
        <f t="shared" si="88"/>
        <v>FI-JR-45-F-HT</v>
      </c>
      <c r="D452" s="91" t="s">
        <v>1100</v>
      </c>
      <c r="E452" s="103" t="s">
        <v>408</v>
      </c>
      <c r="F452" s="93"/>
      <c r="G452" s="116">
        <v>0</v>
      </c>
      <c r="H452" s="105" t="str">
        <f t="shared" si="89"/>
        <v>FI-JR-45-F-RU</v>
      </c>
      <c r="I452" s="91" t="s">
        <v>1321</v>
      </c>
      <c r="J452" s="92" t="s">
        <v>1320</v>
      </c>
      <c r="K452" s="116">
        <v>0</v>
      </c>
      <c r="L452" s="89"/>
      <c r="M452" s="89"/>
      <c r="N452" s="89"/>
      <c r="O452" s="89"/>
      <c r="P452" s="95"/>
      <c r="R452" s="89"/>
      <c r="T452" s="11" t="str">
        <f t="shared" si="92"/>
        <v>G</v>
      </c>
    </row>
    <row r="453" spans="2:20" ht="25.5" x14ac:dyDescent="0.25">
      <c r="B453" s="90"/>
      <c r="C453" s="102" t="str">
        <f t="shared" si="88"/>
        <v>FI-JR-45-F-IR</v>
      </c>
      <c r="D453" s="91" t="s">
        <v>912</v>
      </c>
      <c r="E453" s="103" t="s">
        <v>417</v>
      </c>
      <c r="F453" s="93"/>
      <c r="G453" s="116">
        <v>0</v>
      </c>
      <c r="H453" s="105" t="str">
        <f t="shared" si="89"/>
        <v>FI-JR-45-F-ZA</v>
      </c>
      <c r="I453" s="91" t="s">
        <v>1108</v>
      </c>
      <c r="J453" s="92" t="s">
        <v>513</v>
      </c>
      <c r="K453" s="116">
        <v>0</v>
      </c>
      <c r="L453" s="89"/>
      <c r="M453" s="89"/>
      <c r="N453" s="89"/>
      <c r="O453" s="89"/>
      <c r="P453" s="95"/>
      <c r="R453" s="89"/>
      <c r="T453" s="11" t="str">
        <f t="shared" si="92"/>
        <v>G</v>
      </c>
    </row>
    <row r="454" spans="2:20" x14ac:dyDescent="0.25">
      <c r="B454" s="90"/>
      <c r="C454" s="102" t="str">
        <f t="shared" si="88"/>
        <v>FI-JR-45-F-KE</v>
      </c>
      <c r="D454" s="91" t="s">
        <v>1101</v>
      </c>
      <c r="E454" s="103" t="s">
        <v>426</v>
      </c>
      <c r="F454" s="93"/>
      <c r="G454" s="116">
        <v>0</v>
      </c>
      <c r="H454" s="105" t="str">
        <f t="shared" si="89"/>
        <v>FI-JR-45-F-SS</v>
      </c>
      <c r="I454" s="91" t="s">
        <v>1089</v>
      </c>
      <c r="J454" s="92" t="s">
        <v>1088</v>
      </c>
      <c r="K454" s="99">
        <v>0</v>
      </c>
      <c r="L454" s="89"/>
      <c r="M454" s="89"/>
      <c r="N454" s="89"/>
      <c r="O454" s="89"/>
      <c r="P454" s="95"/>
      <c r="R454" s="89"/>
      <c r="T454" s="11" t="str">
        <f t="shared" si="92"/>
        <v>G</v>
      </c>
    </row>
    <row r="455" spans="2:20" ht="25.5" x14ac:dyDescent="0.25">
      <c r="B455" s="90"/>
      <c r="C455" s="102" t="str">
        <f t="shared" si="88"/>
        <v>FI-JR-45-F-KP</v>
      </c>
      <c r="D455" s="91" t="s">
        <v>1090</v>
      </c>
      <c r="E455" s="103" t="s">
        <v>428</v>
      </c>
      <c r="F455" s="96"/>
      <c r="G455" s="116">
        <v>0</v>
      </c>
      <c r="H455" s="105" t="str">
        <f t="shared" si="89"/>
        <v>FI-JR-45-F-SY</v>
      </c>
      <c r="I455" s="91" t="s">
        <v>1109</v>
      </c>
      <c r="J455" s="92" t="s">
        <v>523</v>
      </c>
      <c r="K455" s="99">
        <v>0</v>
      </c>
      <c r="L455" s="94"/>
      <c r="M455" s="95"/>
      <c r="N455" s="95"/>
      <c r="O455" s="95"/>
      <c r="P455" s="95"/>
      <c r="R455" s="89"/>
      <c r="T455" s="11" t="str">
        <f t="shared" si="92"/>
        <v>G</v>
      </c>
    </row>
    <row r="456" spans="2:20" x14ac:dyDescent="0.25">
      <c r="B456" s="90"/>
      <c r="C456" s="90"/>
      <c r="D456" s="112"/>
      <c r="E456" s="10"/>
      <c r="F456" s="10"/>
      <c r="G456" s="10"/>
      <c r="H456" s="10"/>
      <c r="I456" s="10"/>
      <c r="J456" s="10"/>
      <c r="K456" s="10"/>
      <c r="L456" s="10"/>
      <c r="M456" s="10"/>
      <c r="N456" s="10"/>
      <c r="O456" s="95"/>
      <c r="P456" s="95"/>
      <c r="R456" s="89"/>
      <c r="T456" s="11"/>
    </row>
    <row r="457" spans="2:20" ht="46.5" customHeight="1" x14ac:dyDescent="0.25">
      <c r="B457" s="15" t="s">
        <v>760</v>
      </c>
      <c r="D457" s="186" t="s">
        <v>1156</v>
      </c>
      <c r="E457" s="186"/>
      <c r="F457" s="186"/>
      <c r="G457" s="186"/>
      <c r="H457" s="186"/>
      <c r="I457" s="186"/>
      <c r="J457" s="186"/>
      <c r="K457" s="186"/>
      <c r="L457" s="186"/>
      <c r="M457" s="186"/>
      <c r="N457" s="186"/>
      <c r="O457" s="186"/>
      <c r="P457" s="52"/>
      <c r="R457" s="10"/>
    </row>
    <row r="458" spans="2:20" ht="52.5" customHeight="1" x14ac:dyDescent="0.25">
      <c r="D458" s="190" t="s">
        <v>1349</v>
      </c>
      <c r="E458" s="190"/>
      <c r="F458" s="190"/>
      <c r="G458" s="190"/>
      <c r="H458" s="190"/>
      <c r="I458" s="190"/>
      <c r="J458" s="190"/>
      <c r="K458" s="190"/>
      <c r="L458" s="190"/>
      <c r="M458" s="190"/>
      <c r="N458" s="190"/>
      <c r="O458" s="190"/>
      <c r="P458" s="190"/>
      <c r="R458" s="101"/>
    </row>
    <row r="459" spans="2:20" ht="15" customHeight="1" x14ac:dyDescent="0.25">
      <c r="B459" s="46" t="str">
        <f>B457&amp;"-M"</f>
        <v>FI-JR-46-M</v>
      </c>
      <c r="C459" s="46"/>
      <c r="D459" s="84"/>
      <c r="E459" s="189" t="s">
        <v>448</v>
      </c>
      <c r="F459" s="189"/>
      <c r="G459" s="189"/>
      <c r="H459" s="189"/>
      <c r="I459" s="189"/>
      <c r="J459" s="189"/>
      <c r="K459" s="189"/>
      <c r="L459" s="189"/>
      <c r="M459" s="189"/>
      <c r="N459" s="189"/>
      <c r="O459" s="189"/>
      <c r="P459" s="52"/>
      <c r="R459" s="67"/>
      <c r="T459" s="11" t="str">
        <f>IF(OR(AND(ISBLANK(R459),CR.60&gt;0),AND(CR.60&lt;=0,NOT(ISBLANK(R459)))),"R","G")</f>
        <v>G</v>
      </c>
    </row>
    <row r="460" spans="2:20" ht="15" customHeight="1" x14ac:dyDescent="0.25">
      <c r="B460" s="46" t="str">
        <f>B457&amp;"-E"</f>
        <v>FI-JR-46-E</v>
      </c>
      <c r="C460" s="46"/>
      <c r="D460" s="84"/>
      <c r="E460" s="189" t="s">
        <v>1084</v>
      </c>
      <c r="F460" s="189"/>
      <c r="G460" s="189"/>
      <c r="H460" s="189"/>
      <c r="I460" s="189"/>
      <c r="J460" s="189"/>
      <c r="K460" s="189"/>
      <c r="L460" s="189"/>
      <c r="M460" s="189"/>
      <c r="N460" s="189"/>
      <c r="O460" s="189"/>
      <c r="P460" s="52"/>
      <c r="R460" s="67"/>
      <c r="T460" s="11" t="str">
        <f>IF(OR(AND(ISBLANK(R460),CR.60&gt;0),AND(CR.60&lt;=0,NOT(ISBLANK(R460)))),"R","G")</f>
        <v>G</v>
      </c>
    </row>
    <row r="461" spans="2:20" ht="15" customHeight="1" x14ac:dyDescent="0.25">
      <c r="B461" s="46" t="str">
        <f>B457&amp;"-N"</f>
        <v>FI-JR-46-N</v>
      </c>
      <c r="C461" s="46"/>
      <c r="D461" s="84"/>
      <c r="E461" s="189" t="s">
        <v>1085</v>
      </c>
      <c r="F461" s="189"/>
      <c r="G461" s="189"/>
      <c r="H461" s="189"/>
      <c r="I461" s="189"/>
      <c r="J461" s="189"/>
      <c r="K461" s="189"/>
      <c r="L461" s="189"/>
      <c r="M461" s="189"/>
      <c r="N461" s="189"/>
      <c r="O461" s="189"/>
      <c r="P461" s="52"/>
      <c r="R461" s="67"/>
      <c r="T461" s="11" t="str">
        <f>IF(OR(AND(ISBLANK(R461),CR.60&gt;0),AND(CR.60&lt;=0,NOT(ISBLANK(R461)))),"R","G")</f>
        <v>G</v>
      </c>
    </row>
    <row r="462" spans="2:20" ht="27" customHeight="1" x14ac:dyDescent="0.25">
      <c r="B462" s="46" t="str">
        <f>B457&amp;"-F"</f>
        <v>FI-JR-46-F</v>
      </c>
      <c r="C462" s="46"/>
      <c r="D462" s="84"/>
      <c r="E462" s="191" t="s">
        <v>1086</v>
      </c>
      <c r="F462" s="191"/>
      <c r="G462" s="191"/>
      <c r="H462" s="191"/>
      <c r="I462" s="191"/>
      <c r="J462" s="191"/>
      <c r="K462" s="191"/>
      <c r="L462" s="191"/>
      <c r="M462" s="191"/>
      <c r="N462" s="191"/>
      <c r="O462" s="191"/>
      <c r="P462" s="86"/>
      <c r="R462" s="67"/>
      <c r="T462" s="11" t="str">
        <f>IF(OR(AND(ISBLANK(R462),CR.60&gt;0),AND(CR.60&lt;=0,NOT(ISBLANK(R462)))),"R","G")</f>
        <v>G</v>
      </c>
    </row>
    <row r="463" spans="2:20" ht="9.75" customHeight="1" x14ac:dyDescent="0.25">
      <c r="B463" s="10"/>
      <c r="C463" s="10"/>
      <c r="D463" s="10"/>
      <c r="E463" s="10"/>
      <c r="F463" s="10"/>
      <c r="G463" s="10"/>
      <c r="H463" s="10"/>
      <c r="I463" s="10"/>
      <c r="J463" s="10"/>
      <c r="K463" s="10"/>
      <c r="L463" s="10"/>
      <c r="M463" s="10"/>
      <c r="N463" s="10"/>
      <c r="O463" s="10"/>
      <c r="P463" s="10"/>
      <c r="R463" s="10"/>
    </row>
    <row r="464" spans="2:20" ht="15" customHeight="1" x14ac:dyDescent="0.25">
      <c r="B464" s="87"/>
      <c r="C464" s="87"/>
      <c r="D464" s="192" t="str">
        <f>IF(R462=0,"",IF(SUM(G465:G477,K465:K477,O465:O471)=R462,"","The totals included next to each jurisdiction do not add up to "&amp;R462&amp;", please revise the figures."))</f>
        <v/>
      </c>
      <c r="E464" s="192"/>
      <c r="F464" s="192"/>
      <c r="G464" s="192"/>
      <c r="H464" s="192"/>
      <c r="I464" s="192"/>
      <c r="J464" s="192"/>
      <c r="K464" s="192"/>
      <c r="L464" s="192"/>
      <c r="M464" s="192"/>
      <c r="N464" s="192"/>
      <c r="O464" s="192"/>
      <c r="P464" s="88"/>
      <c r="R464" s="89"/>
      <c r="T464" s="11" t="str">
        <f>IF(D464="","G","R")</f>
        <v>G</v>
      </c>
    </row>
    <row r="465" spans="2:20" ht="25.5" x14ac:dyDescent="0.25">
      <c r="B465" s="90"/>
      <c r="C465" s="102" t="str">
        <f>$B$462&amp;"-"&amp;D465</f>
        <v>FI-JR-46-F-AF</v>
      </c>
      <c r="D465" s="91" t="s">
        <v>1093</v>
      </c>
      <c r="E465" s="103" t="s">
        <v>317</v>
      </c>
      <c r="F465" s="93"/>
      <c r="G465" s="116">
        <v>0</v>
      </c>
      <c r="H465" s="105" t="str">
        <f>$B$462&amp;"-"&amp;I465</f>
        <v>FI-JR-46-F-LA</v>
      </c>
      <c r="I465" s="91" t="s">
        <v>1317</v>
      </c>
      <c r="J465" s="92" t="s">
        <v>1312</v>
      </c>
      <c r="K465" s="116">
        <v>0</v>
      </c>
      <c r="L465" s="105" t="str">
        <f>$B$462&amp;"-"&amp;M465</f>
        <v>FI-JR-46-F-TZ</v>
      </c>
      <c r="M465" s="91" t="s">
        <v>1110</v>
      </c>
      <c r="N465" s="92" t="s">
        <v>526</v>
      </c>
      <c r="O465" s="99">
        <v>0</v>
      </c>
      <c r="P465" s="95"/>
      <c r="R465" s="89"/>
      <c r="T465" s="11" t="str">
        <f>IF(OR(AND(OR(ISBLANK(G465),ISBLANK(K465),ISBLANK(O465)),$R$462&gt;0),AND($R$462&lt;=0,OR(OR(G465&lt;&gt;0,K465&lt;&gt;0,O465&lt;&gt;0)))),"R","G")</f>
        <v>G</v>
      </c>
    </row>
    <row r="466" spans="2:20" x14ac:dyDescent="0.25">
      <c r="B466" s="90"/>
      <c r="C466" s="102" t="str">
        <f t="shared" ref="C466:C477" si="93">$B$462&amp;"-"&amp;D466</f>
        <v>FI-JR-46-F-DZ</v>
      </c>
      <c r="D466" s="91" t="s">
        <v>1094</v>
      </c>
      <c r="E466" s="103" t="s">
        <v>319</v>
      </c>
      <c r="F466" s="93"/>
      <c r="G466" s="116">
        <v>0</v>
      </c>
      <c r="H466" s="105" t="str">
        <f t="shared" ref="H466:H477" si="94">$B$462&amp;"-"&amp;I466</f>
        <v>FI-JR-46-F-LB</v>
      </c>
      <c r="I466" s="91" t="s">
        <v>1102</v>
      </c>
      <c r="J466" s="92" t="s">
        <v>434</v>
      </c>
      <c r="K466" s="116">
        <v>0</v>
      </c>
      <c r="L466" s="105" t="str">
        <f t="shared" ref="L466:L471" si="95">$B$462&amp;"-"&amp;M466</f>
        <v>FI-JR-46-F-TT</v>
      </c>
      <c r="M466" s="91" t="s">
        <v>1111</v>
      </c>
      <c r="N466" s="92" t="s">
        <v>532</v>
      </c>
      <c r="O466" s="99">
        <v>0</v>
      </c>
      <c r="P466" s="95"/>
      <c r="R466" s="89"/>
      <c r="T466" s="11" t="str">
        <f t="shared" ref="T466:T471" si="96">IF(OR(AND(OR(ISBLANK(G466),ISBLANK(K466),ISBLANK(O466)),$R$462&gt;0),AND($R$462&lt;=0,OR(OR(G466&lt;&gt;0,K466&lt;&gt;0,O466&lt;&gt;0)))),"R","G")</f>
        <v>G</v>
      </c>
    </row>
    <row r="467" spans="2:20" x14ac:dyDescent="0.25">
      <c r="B467" s="90"/>
      <c r="C467" s="102" t="str">
        <f t="shared" si="93"/>
        <v>FI-JR-46-F-AO</v>
      </c>
      <c r="D467" s="91" t="s">
        <v>1095</v>
      </c>
      <c r="E467" s="103" t="s">
        <v>322</v>
      </c>
      <c r="F467" s="93"/>
      <c r="G467" s="116">
        <v>0</v>
      </c>
      <c r="H467" s="105" t="str">
        <f t="shared" si="94"/>
        <v>FI-JR-46-F-ML</v>
      </c>
      <c r="I467" s="91" t="s">
        <v>1103</v>
      </c>
      <c r="J467" s="92" t="s">
        <v>447</v>
      </c>
      <c r="K467" s="116">
        <v>0</v>
      </c>
      <c r="L467" s="105" t="str">
        <f t="shared" si="95"/>
        <v>FI-JR-46-F-VU</v>
      </c>
      <c r="M467" s="91" t="s">
        <v>1112</v>
      </c>
      <c r="N467" s="92" t="s">
        <v>546</v>
      </c>
      <c r="O467" s="99">
        <v>0</v>
      </c>
      <c r="P467" s="95"/>
      <c r="R467" s="89"/>
      <c r="T467" s="11" t="str">
        <f t="shared" si="96"/>
        <v>G</v>
      </c>
    </row>
    <row r="468" spans="2:20" x14ac:dyDescent="0.25">
      <c r="B468" s="90"/>
      <c r="C468" s="102" t="str">
        <f t="shared" si="93"/>
        <v>FI-JR-46-F-BO</v>
      </c>
      <c r="D468" s="91" t="s">
        <v>1316</v>
      </c>
      <c r="E468" s="103" t="s">
        <v>342</v>
      </c>
      <c r="F468" s="93"/>
      <c r="G468" s="116">
        <v>0</v>
      </c>
      <c r="H468" s="105" t="str">
        <f t="shared" si="94"/>
        <v>FI-JR-46-F-MN</v>
      </c>
      <c r="I468" s="91" t="s">
        <v>1315</v>
      </c>
      <c r="J468" s="92" t="s">
        <v>457</v>
      </c>
      <c r="K468" s="116">
        <v>0</v>
      </c>
      <c r="L468" s="105" t="str">
        <f t="shared" si="95"/>
        <v>FI-JR-46-F-VE</v>
      </c>
      <c r="M468" s="91" t="s">
        <v>1113</v>
      </c>
      <c r="N468" s="92" t="s">
        <v>547</v>
      </c>
      <c r="O468" s="99">
        <v>0</v>
      </c>
      <c r="P468" s="95"/>
      <c r="R468" s="89"/>
      <c r="T468" s="11" t="str">
        <f t="shared" si="96"/>
        <v>G</v>
      </c>
    </row>
    <row r="469" spans="2:20" x14ac:dyDescent="0.25">
      <c r="B469" s="90"/>
      <c r="C469" s="102" t="str">
        <f t="shared" si="93"/>
        <v>FI-JR-46-F-BG</v>
      </c>
      <c r="D469" s="91" t="s">
        <v>1096</v>
      </c>
      <c r="E469" s="103" t="s">
        <v>349</v>
      </c>
      <c r="F469" s="93"/>
      <c r="G469" s="116">
        <v>0</v>
      </c>
      <c r="H469" s="105" t="str">
        <f t="shared" si="94"/>
        <v>FI-JR-46-F-MZ</v>
      </c>
      <c r="I469" s="91" t="s">
        <v>1104</v>
      </c>
      <c r="J469" s="92" t="s">
        <v>461</v>
      </c>
      <c r="K469" s="116">
        <v>0</v>
      </c>
      <c r="L469" s="105" t="str">
        <f t="shared" si="95"/>
        <v>FI-JR-46-F-VN</v>
      </c>
      <c r="M469" s="91" t="s">
        <v>1114</v>
      </c>
      <c r="N469" s="92" t="s">
        <v>1313</v>
      </c>
      <c r="O469" s="99">
        <v>0</v>
      </c>
      <c r="P469" s="95"/>
      <c r="R469" s="89"/>
      <c r="T469" s="11" t="str">
        <f t="shared" si="96"/>
        <v>G</v>
      </c>
    </row>
    <row r="470" spans="2:20" x14ac:dyDescent="0.25">
      <c r="B470" s="90"/>
      <c r="C470" s="102" t="str">
        <f t="shared" si="93"/>
        <v>FI-JR-46-F-BF</v>
      </c>
      <c r="D470" s="91" t="s">
        <v>1097</v>
      </c>
      <c r="E470" s="103" t="s">
        <v>350</v>
      </c>
      <c r="F470" s="93"/>
      <c r="G470" s="116">
        <v>0</v>
      </c>
      <c r="H470" s="105" t="str">
        <f t="shared" si="94"/>
        <v>FI-JR-46-F-MM</v>
      </c>
      <c r="I470" s="91" t="s">
        <v>1105</v>
      </c>
      <c r="J470" s="92" t="s">
        <v>462</v>
      </c>
      <c r="K470" s="116">
        <v>0</v>
      </c>
      <c r="L470" s="105" t="str">
        <f t="shared" si="95"/>
        <v>FI-JR-46-F-VI</v>
      </c>
      <c r="M470" s="91" t="s">
        <v>1319</v>
      </c>
      <c r="N470" s="92" t="s">
        <v>1314</v>
      </c>
      <c r="O470" s="99">
        <v>0</v>
      </c>
      <c r="P470" s="95"/>
      <c r="R470" s="89"/>
      <c r="T470" s="11" t="str">
        <f t="shared" si="96"/>
        <v>G</v>
      </c>
    </row>
    <row r="471" spans="2:20" x14ac:dyDescent="0.25">
      <c r="B471" s="90"/>
      <c r="C471" s="102" t="str">
        <f t="shared" si="93"/>
        <v>FI-JR-46-F-CM</v>
      </c>
      <c r="D471" s="91" t="s">
        <v>1098</v>
      </c>
      <c r="E471" s="103" t="s">
        <v>353</v>
      </c>
      <c r="F471" s="93"/>
      <c r="G471" s="116">
        <v>0</v>
      </c>
      <c r="H471" s="105" t="str">
        <f t="shared" si="94"/>
        <v>FI-JR-46-F-NA</v>
      </c>
      <c r="I471" s="91" t="s">
        <v>1106</v>
      </c>
      <c r="J471" s="92" t="s">
        <v>463</v>
      </c>
      <c r="K471" s="116">
        <v>0</v>
      </c>
      <c r="L471" s="105" t="str">
        <f t="shared" si="95"/>
        <v>FI-JR-46-F-YE</v>
      </c>
      <c r="M471" s="91" t="s">
        <v>1115</v>
      </c>
      <c r="N471" s="92" t="s">
        <v>553</v>
      </c>
      <c r="O471" s="99">
        <v>0</v>
      </c>
      <c r="P471" s="95"/>
      <c r="R471" s="89"/>
      <c r="T471" s="11" t="str">
        <f t="shared" si="96"/>
        <v>G</v>
      </c>
    </row>
    <row r="472" spans="2:20" ht="38.25" x14ac:dyDescent="0.25">
      <c r="B472" s="90"/>
      <c r="C472" s="102" t="str">
        <f t="shared" si="93"/>
        <v>FI-JR-46-F-CD</v>
      </c>
      <c r="D472" s="91" t="s">
        <v>1099</v>
      </c>
      <c r="E472" s="103" t="s">
        <v>366</v>
      </c>
      <c r="F472" s="93"/>
      <c r="G472" s="116">
        <v>0</v>
      </c>
      <c r="H472" s="105" t="str">
        <f t="shared" si="94"/>
        <v>FI-JR-46-F-NP</v>
      </c>
      <c r="I472" s="91" t="s">
        <v>1318</v>
      </c>
      <c r="J472" s="92" t="s">
        <v>465</v>
      </c>
      <c r="K472" s="116">
        <v>0</v>
      </c>
      <c r="L472" s="95"/>
      <c r="M472" s="95"/>
      <c r="N472" s="95"/>
      <c r="O472" s="95"/>
      <c r="P472" s="95"/>
      <c r="R472" s="89"/>
      <c r="T472" s="11" t="str">
        <f t="shared" ref="T472:T477" si="97">IF(OR(AND(OR(ISBLANK(G472),ISBLANK(K472)),$R$462&gt;0),AND($R$462&lt;=0,OR(OR(G472&lt;&gt;0,K472&lt;&gt;0)))),"R","G")</f>
        <v>G</v>
      </c>
    </row>
    <row r="473" spans="2:20" x14ac:dyDescent="0.25">
      <c r="B473" s="90"/>
      <c r="C473" s="102" t="str">
        <f t="shared" si="93"/>
        <v>FI-JR-46-F-CI</v>
      </c>
      <c r="D473" s="91" t="s">
        <v>1091</v>
      </c>
      <c r="E473" s="103" t="s">
        <v>369</v>
      </c>
      <c r="F473" s="93"/>
      <c r="G473" s="116">
        <v>0</v>
      </c>
      <c r="H473" s="105" t="str">
        <f t="shared" si="94"/>
        <v>FI-JR-46-F-NG</v>
      </c>
      <c r="I473" s="91" t="s">
        <v>1107</v>
      </c>
      <c r="J473" s="92" t="s">
        <v>472</v>
      </c>
      <c r="K473" s="116">
        <v>0</v>
      </c>
      <c r="L473" s="95"/>
      <c r="M473" s="95"/>
      <c r="N473" s="95"/>
      <c r="O473" s="95"/>
      <c r="P473" s="95"/>
      <c r="R473" s="89"/>
      <c r="T473" s="11" t="str">
        <f t="shared" si="97"/>
        <v>G</v>
      </c>
    </row>
    <row r="474" spans="2:20" x14ac:dyDescent="0.25">
      <c r="B474" s="90"/>
      <c r="C474" s="102" t="str">
        <f t="shared" si="93"/>
        <v>FI-JR-46-F-HT</v>
      </c>
      <c r="D474" s="91" t="s">
        <v>1100</v>
      </c>
      <c r="E474" s="103" t="s">
        <v>408</v>
      </c>
      <c r="F474" s="93"/>
      <c r="G474" s="116">
        <v>0</v>
      </c>
      <c r="H474" s="105" t="str">
        <f t="shared" si="94"/>
        <v>FI-JR-46-F-RU</v>
      </c>
      <c r="I474" s="91" t="s">
        <v>1321</v>
      </c>
      <c r="J474" s="92" t="s">
        <v>1320</v>
      </c>
      <c r="K474" s="116">
        <v>0</v>
      </c>
      <c r="L474" s="95"/>
      <c r="M474" s="95"/>
      <c r="N474" s="95"/>
      <c r="O474" s="95"/>
      <c r="P474" s="95"/>
      <c r="R474" s="89"/>
      <c r="T474" s="11" t="str">
        <f t="shared" si="97"/>
        <v>G</v>
      </c>
    </row>
    <row r="475" spans="2:20" ht="25.5" x14ac:dyDescent="0.25">
      <c r="B475" s="90"/>
      <c r="C475" s="102" t="str">
        <f t="shared" si="93"/>
        <v>FI-JR-46-F-IR</v>
      </c>
      <c r="D475" s="91" t="s">
        <v>912</v>
      </c>
      <c r="E475" s="103" t="s">
        <v>417</v>
      </c>
      <c r="F475" s="93"/>
      <c r="G475" s="116">
        <v>0</v>
      </c>
      <c r="H475" s="105" t="str">
        <f t="shared" si="94"/>
        <v>FI-JR-46-F-ZA</v>
      </c>
      <c r="I475" s="91" t="s">
        <v>1108</v>
      </c>
      <c r="J475" s="92" t="s">
        <v>513</v>
      </c>
      <c r="K475" s="116">
        <v>0</v>
      </c>
      <c r="L475" s="95"/>
      <c r="M475" s="95"/>
      <c r="N475" s="95"/>
      <c r="O475" s="95"/>
      <c r="P475" s="95"/>
      <c r="R475" s="89"/>
      <c r="T475" s="11" t="str">
        <f t="shared" si="97"/>
        <v>G</v>
      </c>
    </row>
    <row r="476" spans="2:20" x14ac:dyDescent="0.25">
      <c r="B476" s="90"/>
      <c r="C476" s="102" t="str">
        <f t="shared" si="93"/>
        <v>FI-JR-46-F-KE</v>
      </c>
      <c r="D476" s="91" t="s">
        <v>1101</v>
      </c>
      <c r="E476" s="103" t="s">
        <v>426</v>
      </c>
      <c r="F476" s="93"/>
      <c r="G476" s="116">
        <v>0</v>
      </c>
      <c r="H476" s="105" t="str">
        <f t="shared" si="94"/>
        <v>FI-JR-46-F-SS</v>
      </c>
      <c r="I476" s="91" t="s">
        <v>1089</v>
      </c>
      <c r="J476" s="92" t="s">
        <v>1088</v>
      </c>
      <c r="K476" s="99">
        <v>0</v>
      </c>
      <c r="L476" s="94"/>
      <c r="M476" s="95"/>
      <c r="N476" s="95"/>
      <c r="O476" s="95"/>
      <c r="P476" s="95"/>
      <c r="R476" s="89"/>
      <c r="T476" s="11" t="str">
        <f t="shared" si="97"/>
        <v>G</v>
      </c>
    </row>
    <row r="477" spans="2:20" ht="25.5" x14ac:dyDescent="0.25">
      <c r="B477" s="90"/>
      <c r="C477" s="102" t="str">
        <f t="shared" si="93"/>
        <v>FI-JR-46-F-KP</v>
      </c>
      <c r="D477" s="91" t="s">
        <v>1090</v>
      </c>
      <c r="E477" s="103" t="s">
        <v>428</v>
      </c>
      <c r="F477" s="96"/>
      <c r="G477" s="116">
        <v>0</v>
      </c>
      <c r="H477" s="105" t="str">
        <f t="shared" si="94"/>
        <v>FI-JR-46-F-SY</v>
      </c>
      <c r="I477" s="91" t="s">
        <v>1109</v>
      </c>
      <c r="J477" s="92" t="s">
        <v>523</v>
      </c>
      <c r="K477" s="99">
        <v>0</v>
      </c>
      <c r="L477" s="94"/>
      <c r="M477" s="95"/>
      <c r="N477" s="95"/>
      <c r="O477" s="95"/>
      <c r="P477" s="95"/>
      <c r="R477" s="89"/>
      <c r="T477" s="11" t="str">
        <f t="shared" si="97"/>
        <v>G</v>
      </c>
    </row>
    <row r="478" spans="2:20" x14ac:dyDescent="0.25">
      <c r="B478" s="90"/>
      <c r="C478" s="90"/>
      <c r="D478" s="112"/>
      <c r="E478" s="10"/>
      <c r="F478" s="10"/>
      <c r="G478" s="10"/>
      <c r="H478" s="10"/>
      <c r="I478" s="10"/>
      <c r="J478" s="10"/>
      <c r="K478" s="10"/>
      <c r="L478" s="10"/>
      <c r="M478" s="10"/>
      <c r="N478" s="10"/>
      <c r="O478" s="95"/>
      <c r="P478" s="95"/>
      <c r="R478" s="89"/>
      <c r="T478" s="11"/>
    </row>
    <row r="479" spans="2:20" ht="30" customHeight="1" x14ac:dyDescent="0.25">
      <c r="B479" s="15" t="s">
        <v>761</v>
      </c>
      <c r="D479" s="186" t="s">
        <v>884</v>
      </c>
      <c r="E479" s="186"/>
      <c r="F479" s="186"/>
      <c r="G479" s="186"/>
      <c r="H479" s="186"/>
      <c r="I479" s="186"/>
      <c r="J479" s="186"/>
      <c r="K479" s="186"/>
      <c r="L479" s="186"/>
      <c r="M479" s="186"/>
      <c r="N479" s="186"/>
      <c r="O479" s="186"/>
      <c r="P479" s="52"/>
      <c r="R479" s="10"/>
    </row>
    <row r="480" spans="2:20" ht="52.5" customHeight="1" x14ac:dyDescent="0.25">
      <c r="D480" s="190" t="s">
        <v>1349</v>
      </c>
      <c r="E480" s="190"/>
      <c r="F480" s="190"/>
      <c r="G480" s="190"/>
      <c r="H480" s="190"/>
      <c r="I480" s="190"/>
      <c r="J480" s="190"/>
      <c r="K480" s="190"/>
      <c r="L480" s="190"/>
      <c r="M480" s="190"/>
      <c r="N480" s="190"/>
      <c r="O480" s="190"/>
      <c r="P480" s="190"/>
      <c r="R480" s="101"/>
    </row>
    <row r="481" spans="1:20" ht="15" customHeight="1" x14ac:dyDescent="0.25">
      <c r="B481" s="46" t="str">
        <f>B479&amp;"-M"</f>
        <v>FI-JR-01-M</v>
      </c>
      <c r="C481" s="46"/>
      <c r="D481" s="84"/>
      <c r="E481" s="189" t="s">
        <v>448</v>
      </c>
      <c r="F481" s="189"/>
      <c r="G481" s="189"/>
      <c r="H481" s="189"/>
      <c r="I481" s="189"/>
      <c r="J481" s="189"/>
      <c r="K481" s="189"/>
      <c r="L481" s="189"/>
      <c r="M481" s="189"/>
      <c r="N481" s="189"/>
      <c r="O481" s="189"/>
      <c r="P481" s="52"/>
      <c r="R481" s="16"/>
      <c r="T481" s="11" t="str">
        <f>IF(OR(AND(ISBLANK(R481),PR.49&gt;0),AND(PR.49&lt;=0,NOT(ISBLANK(R481)))),"R","G")</f>
        <v>G</v>
      </c>
    </row>
    <row r="482" spans="1:20" ht="15" customHeight="1" x14ac:dyDescent="0.25">
      <c r="B482" s="46" t="str">
        <f>B479&amp;"-E"</f>
        <v>FI-JR-01-E</v>
      </c>
      <c r="C482" s="46"/>
      <c r="D482" s="84"/>
      <c r="E482" s="189" t="s">
        <v>1084</v>
      </c>
      <c r="F482" s="189"/>
      <c r="G482" s="189"/>
      <c r="H482" s="189"/>
      <c r="I482" s="189"/>
      <c r="J482" s="189"/>
      <c r="K482" s="189"/>
      <c r="L482" s="189"/>
      <c r="M482" s="189"/>
      <c r="N482" s="189"/>
      <c r="O482" s="189"/>
      <c r="P482" s="52"/>
      <c r="R482" s="16"/>
      <c r="T482" s="11" t="str">
        <f>IF(OR(AND(ISBLANK(R482),PR.49&gt;0),AND(PR.49&lt;=0,NOT(ISBLANK(R482)))),"R","G")</f>
        <v>G</v>
      </c>
    </row>
    <row r="483" spans="1:20" ht="15" customHeight="1" x14ac:dyDescent="0.25">
      <c r="B483" s="46" t="str">
        <f>B479&amp;"-N"</f>
        <v>FI-JR-01-N</v>
      </c>
      <c r="C483" s="46"/>
      <c r="D483" s="84"/>
      <c r="E483" s="189" t="s">
        <v>1085</v>
      </c>
      <c r="F483" s="189"/>
      <c r="G483" s="189"/>
      <c r="H483" s="189"/>
      <c r="I483" s="189"/>
      <c r="J483" s="189"/>
      <c r="K483" s="189"/>
      <c r="L483" s="189"/>
      <c r="M483" s="189"/>
      <c r="N483" s="189"/>
      <c r="O483" s="189"/>
      <c r="P483" s="52"/>
      <c r="R483" s="16"/>
      <c r="T483" s="11" t="str">
        <f>IF(OR(AND(ISBLANK(R483),PR.49&gt;0),AND(PR.49&lt;=0,NOT(ISBLANK(R483)))),"R","G")</f>
        <v>G</v>
      </c>
    </row>
    <row r="484" spans="1:20" ht="27" customHeight="1" x14ac:dyDescent="0.25">
      <c r="B484" s="46" t="str">
        <f>B479&amp;"-F"</f>
        <v>FI-JR-01-F</v>
      </c>
      <c r="C484" s="46"/>
      <c r="D484" s="84"/>
      <c r="E484" s="191" t="s">
        <v>1086</v>
      </c>
      <c r="F484" s="191"/>
      <c r="G484" s="191"/>
      <c r="H484" s="191"/>
      <c r="I484" s="191"/>
      <c r="J484" s="191"/>
      <c r="K484" s="191"/>
      <c r="L484" s="191"/>
      <c r="M484" s="191"/>
      <c r="N484" s="191"/>
      <c r="O484" s="191"/>
      <c r="P484" s="86"/>
      <c r="R484" s="16"/>
      <c r="T484" s="11" t="str">
        <f>IF(OR(AND(ISBLANK(R484),PR.49&gt;0),AND(PR.49&lt;=0,NOT(ISBLANK(R484)))),"R","G")</f>
        <v>G</v>
      </c>
    </row>
    <row r="485" spans="1:20" ht="9.75" customHeight="1" x14ac:dyDescent="0.25">
      <c r="B485" s="10"/>
      <c r="C485" s="10"/>
      <c r="D485" s="10"/>
      <c r="E485" s="10"/>
      <c r="F485" s="10"/>
      <c r="G485" s="10"/>
      <c r="H485" s="10"/>
      <c r="I485" s="10"/>
      <c r="J485" s="10"/>
      <c r="K485" s="10"/>
      <c r="L485" s="10"/>
      <c r="M485" s="10"/>
      <c r="N485" s="10"/>
      <c r="O485" s="10"/>
      <c r="P485" s="10"/>
      <c r="R485" s="10"/>
    </row>
    <row r="486" spans="1:20" ht="15" customHeight="1" x14ac:dyDescent="0.25">
      <c r="B486" s="87"/>
      <c r="C486" s="87"/>
      <c r="D486" s="192" t="str">
        <f>IF(R484&lt;&gt;"Yes","",IF(OR(COUNTIFS(G487:G499,"yes")&gt;0,COUNTIFS(K487:K499,"Yes")&gt;0,COUNTIFS(O487:O493,"yes")&gt;0),"","Include at least one 'Yes' next to the below applicable jurisdictions."))</f>
        <v/>
      </c>
      <c r="E486" s="192"/>
      <c r="F486" s="192"/>
      <c r="G486" s="192"/>
      <c r="H486" s="192"/>
      <c r="I486" s="192"/>
      <c r="J486" s="192"/>
      <c r="K486" s="192"/>
      <c r="L486" s="192"/>
      <c r="M486" s="192"/>
      <c r="N486" s="192"/>
      <c r="O486" s="192"/>
      <c r="P486" s="88"/>
      <c r="R486" s="89"/>
      <c r="T486" s="11" t="str">
        <f>IF(D486="","G","R")</f>
        <v>G</v>
      </c>
    </row>
    <row r="487" spans="1:20" ht="25.5" x14ac:dyDescent="0.25">
      <c r="A487" s="48"/>
      <c r="B487" s="90"/>
      <c r="C487" s="102" t="str">
        <f>$B$484&amp;"-"&amp;D487</f>
        <v>FI-JR-01-F-AF</v>
      </c>
      <c r="D487" s="91" t="s">
        <v>1093</v>
      </c>
      <c r="E487" s="103" t="s">
        <v>317</v>
      </c>
      <c r="F487" s="93"/>
      <c r="G487" s="16"/>
      <c r="H487" s="105" t="str">
        <f>$B$484&amp;"-"&amp;I487</f>
        <v>FI-JR-01-F-LA</v>
      </c>
      <c r="I487" s="91" t="s">
        <v>1317</v>
      </c>
      <c r="J487" s="92" t="s">
        <v>1312</v>
      </c>
      <c r="K487" s="16"/>
      <c r="L487" s="105" t="str">
        <f>$B$484&amp;"-"&amp;M487</f>
        <v>FI-JR-01-F-TZ</v>
      </c>
      <c r="M487" s="91" t="s">
        <v>1110</v>
      </c>
      <c r="N487" s="92" t="s">
        <v>526</v>
      </c>
      <c r="O487" s="16"/>
      <c r="P487" s="95"/>
      <c r="R487" s="89"/>
      <c r="T487" s="11" t="str" cm="1">
        <f t="array" ref="T487">IF(OR(AND(ISBLANK($G$487:$G$499),ISBLANK($K$487:$K$499),ISBLANK($O$487:$O$497),$R$484="Yes"),AND($R$484&lt;&gt;"Yes",OR(NOT(ISBLANK($G$487:$G$499)),NOT(ISBLANK($K$487:$K$499)),NOT(ISBLANK($O$487:$O$497))))),"R","G")</f>
        <v>G</v>
      </c>
    </row>
    <row r="488" spans="1:20" x14ac:dyDescent="0.25">
      <c r="A488" s="48"/>
      <c r="B488" s="90"/>
      <c r="C488" s="102" t="str">
        <f t="shared" ref="C488:C499" si="98">$B$484&amp;"-"&amp;D488</f>
        <v>FI-JR-01-F-DZ</v>
      </c>
      <c r="D488" s="91" t="s">
        <v>1094</v>
      </c>
      <c r="E488" s="103" t="s">
        <v>319</v>
      </c>
      <c r="F488" s="93"/>
      <c r="G488" s="16"/>
      <c r="H488" s="105" t="str">
        <f t="shared" ref="H488:H499" si="99">$B$484&amp;"-"&amp;I488</f>
        <v>FI-JR-01-F-LB</v>
      </c>
      <c r="I488" s="91" t="s">
        <v>1102</v>
      </c>
      <c r="J488" s="92" t="s">
        <v>434</v>
      </c>
      <c r="K488" s="16"/>
      <c r="L488" s="105" t="str">
        <f t="shared" ref="L488:L493" si="100">$B$484&amp;"-"&amp;M488</f>
        <v>FI-JR-01-F-TT</v>
      </c>
      <c r="M488" s="91" t="s">
        <v>1111</v>
      </c>
      <c r="N488" s="92" t="s">
        <v>532</v>
      </c>
      <c r="O488" s="16"/>
      <c r="P488" s="95"/>
      <c r="R488" s="89"/>
    </row>
    <row r="489" spans="1:20" x14ac:dyDescent="0.25">
      <c r="A489" s="48"/>
      <c r="B489" s="90"/>
      <c r="C489" s="102" t="str">
        <f t="shared" si="98"/>
        <v>FI-JR-01-F-AO</v>
      </c>
      <c r="D489" s="91" t="s">
        <v>1095</v>
      </c>
      <c r="E489" s="103" t="s">
        <v>322</v>
      </c>
      <c r="F489" s="93"/>
      <c r="G489" s="16"/>
      <c r="H489" s="105" t="str">
        <f t="shared" si="99"/>
        <v>FI-JR-01-F-ML</v>
      </c>
      <c r="I489" s="91" t="s">
        <v>1103</v>
      </c>
      <c r="J489" s="92" t="s">
        <v>447</v>
      </c>
      <c r="K489" s="16"/>
      <c r="L489" s="105" t="str">
        <f t="shared" si="100"/>
        <v>FI-JR-01-F-VU</v>
      </c>
      <c r="M489" s="91" t="s">
        <v>1112</v>
      </c>
      <c r="N489" s="92" t="s">
        <v>546</v>
      </c>
      <c r="O489" s="16"/>
      <c r="P489" s="95"/>
      <c r="R489" s="89"/>
    </row>
    <row r="490" spans="1:20" x14ac:dyDescent="0.25">
      <c r="A490" s="48"/>
      <c r="B490" s="90"/>
      <c r="C490" s="102" t="str">
        <f t="shared" si="98"/>
        <v>FI-JR-01-F-BO</v>
      </c>
      <c r="D490" s="91" t="s">
        <v>1316</v>
      </c>
      <c r="E490" s="103" t="s">
        <v>342</v>
      </c>
      <c r="F490" s="93"/>
      <c r="G490" s="16"/>
      <c r="H490" s="105" t="str">
        <f t="shared" si="99"/>
        <v>FI-JR-01-F-MN</v>
      </c>
      <c r="I490" s="91" t="s">
        <v>1315</v>
      </c>
      <c r="J490" s="92" t="s">
        <v>457</v>
      </c>
      <c r="K490" s="16"/>
      <c r="L490" s="105" t="str">
        <f t="shared" si="100"/>
        <v>FI-JR-01-F-VE</v>
      </c>
      <c r="M490" s="91" t="s">
        <v>1113</v>
      </c>
      <c r="N490" s="92" t="s">
        <v>547</v>
      </c>
      <c r="O490" s="16"/>
      <c r="P490" s="95"/>
      <c r="R490" s="89"/>
    </row>
    <row r="491" spans="1:20" x14ac:dyDescent="0.25">
      <c r="A491" s="48"/>
      <c r="B491" s="90"/>
      <c r="C491" s="102" t="str">
        <f t="shared" si="98"/>
        <v>FI-JR-01-F-BG</v>
      </c>
      <c r="D491" s="91" t="s">
        <v>1096</v>
      </c>
      <c r="E491" s="103" t="s">
        <v>349</v>
      </c>
      <c r="F491" s="93"/>
      <c r="G491" s="16"/>
      <c r="H491" s="105" t="str">
        <f t="shared" si="99"/>
        <v>FI-JR-01-F-MZ</v>
      </c>
      <c r="I491" s="91" t="s">
        <v>1104</v>
      </c>
      <c r="J491" s="92" t="s">
        <v>461</v>
      </c>
      <c r="K491" s="16"/>
      <c r="L491" s="105" t="str">
        <f t="shared" si="100"/>
        <v>FI-JR-01-F-VN</v>
      </c>
      <c r="M491" s="91" t="s">
        <v>1114</v>
      </c>
      <c r="N491" s="92" t="s">
        <v>1313</v>
      </c>
      <c r="O491" s="16"/>
      <c r="P491" s="95"/>
      <c r="R491" s="89"/>
    </row>
    <row r="492" spans="1:20" x14ac:dyDescent="0.25">
      <c r="A492" s="48"/>
      <c r="B492" s="90"/>
      <c r="C492" s="102" t="str">
        <f t="shared" si="98"/>
        <v>FI-JR-01-F-BF</v>
      </c>
      <c r="D492" s="91" t="s">
        <v>1097</v>
      </c>
      <c r="E492" s="103" t="s">
        <v>350</v>
      </c>
      <c r="F492" s="93"/>
      <c r="G492" s="16"/>
      <c r="H492" s="105" t="str">
        <f t="shared" si="99"/>
        <v>FI-JR-01-F-MM</v>
      </c>
      <c r="I492" s="91" t="s">
        <v>1105</v>
      </c>
      <c r="J492" s="92" t="s">
        <v>462</v>
      </c>
      <c r="K492" s="16"/>
      <c r="L492" s="105" t="str">
        <f t="shared" si="100"/>
        <v>FI-JR-01-F-VI</v>
      </c>
      <c r="M492" s="91" t="s">
        <v>1319</v>
      </c>
      <c r="N492" s="92" t="s">
        <v>1314</v>
      </c>
      <c r="O492" s="16"/>
      <c r="P492" s="95"/>
      <c r="R492" s="89"/>
    </row>
    <row r="493" spans="1:20" x14ac:dyDescent="0.25">
      <c r="A493" s="48"/>
      <c r="B493" s="90"/>
      <c r="C493" s="102" t="str">
        <f t="shared" si="98"/>
        <v>FI-JR-01-F-CM</v>
      </c>
      <c r="D493" s="91" t="s">
        <v>1098</v>
      </c>
      <c r="E493" s="103" t="s">
        <v>353</v>
      </c>
      <c r="F493" s="93"/>
      <c r="G493" s="16"/>
      <c r="H493" s="105" t="str">
        <f t="shared" si="99"/>
        <v>FI-JR-01-F-NA</v>
      </c>
      <c r="I493" s="91" t="s">
        <v>1106</v>
      </c>
      <c r="J493" s="92" t="s">
        <v>463</v>
      </c>
      <c r="K493" s="16"/>
      <c r="L493" s="105" t="str">
        <f t="shared" si="100"/>
        <v>FI-JR-01-F-YE</v>
      </c>
      <c r="M493" s="91" t="s">
        <v>1115</v>
      </c>
      <c r="N493" s="92" t="s">
        <v>553</v>
      </c>
      <c r="O493" s="16"/>
      <c r="P493" s="95"/>
      <c r="R493" s="89"/>
    </row>
    <row r="494" spans="1:20" ht="38.25" x14ac:dyDescent="0.25">
      <c r="A494" s="48"/>
      <c r="B494" s="90"/>
      <c r="C494" s="102" t="str">
        <f t="shared" si="98"/>
        <v>FI-JR-01-F-CD</v>
      </c>
      <c r="D494" s="91" t="s">
        <v>1099</v>
      </c>
      <c r="E494" s="103" t="s">
        <v>366</v>
      </c>
      <c r="F494" s="93"/>
      <c r="G494" s="16"/>
      <c r="H494" s="105" t="str">
        <f t="shared" si="99"/>
        <v>FI-JR-01-F-NP</v>
      </c>
      <c r="I494" s="91" t="s">
        <v>1318</v>
      </c>
      <c r="J494" s="92" t="s">
        <v>465</v>
      </c>
      <c r="K494" s="16"/>
      <c r="L494" s="167"/>
      <c r="M494" s="168"/>
      <c r="N494" s="95"/>
      <c r="O494" s="95"/>
      <c r="P494" s="95"/>
      <c r="R494" s="89"/>
    </row>
    <row r="495" spans="1:20" x14ac:dyDescent="0.25">
      <c r="A495" s="48"/>
      <c r="B495" s="90"/>
      <c r="C495" s="102" t="str">
        <f t="shared" si="98"/>
        <v>FI-JR-01-F-CI</v>
      </c>
      <c r="D495" s="91" t="s">
        <v>1091</v>
      </c>
      <c r="E495" s="103" t="s">
        <v>369</v>
      </c>
      <c r="F495" s="93"/>
      <c r="G495" s="16"/>
      <c r="H495" s="105" t="str">
        <f t="shared" si="99"/>
        <v>FI-JR-01-F-NG</v>
      </c>
      <c r="I495" s="91" t="s">
        <v>1107</v>
      </c>
      <c r="J495" s="92" t="s">
        <v>472</v>
      </c>
      <c r="K495" s="16"/>
      <c r="L495" s="167"/>
      <c r="M495" s="95"/>
      <c r="N495" s="95"/>
      <c r="O495" s="95"/>
      <c r="P495" s="95"/>
      <c r="R495" s="89"/>
    </row>
    <row r="496" spans="1:20" x14ac:dyDescent="0.25">
      <c r="A496" s="48"/>
      <c r="B496" s="90"/>
      <c r="C496" s="102" t="str">
        <f t="shared" si="98"/>
        <v>FI-JR-01-F-HT</v>
      </c>
      <c r="D496" s="91" t="s">
        <v>1100</v>
      </c>
      <c r="E496" s="103" t="s">
        <v>408</v>
      </c>
      <c r="F496" s="93"/>
      <c r="G496" s="16"/>
      <c r="H496" s="105" t="str">
        <f t="shared" si="99"/>
        <v>FI-JR-01-F-RU</v>
      </c>
      <c r="I496" s="91" t="s">
        <v>1321</v>
      </c>
      <c r="J496" s="92" t="s">
        <v>1320</v>
      </c>
      <c r="K496" s="16"/>
      <c r="L496" s="167"/>
      <c r="M496" s="95"/>
      <c r="N496" s="95"/>
      <c r="O496" s="95"/>
      <c r="P496" s="95"/>
      <c r="R496" s="89"/>
    </row>
    <row r="497" spans="1:20" ht="25.5" x14ac:dyDescent="0.25">
      <c r="A497" s="48"/>
      <c r="B497" s="90"/>
      <c r="C497" s="102" t="str">
        <f t="shared" si="98"/>
        <v>FI-JR-01-F-IR</v>
      </c>
      <c r="D497" s="91" t="s">
        <v>912</v>
      </c>
      <c r="E497" s="103" t="s">
        <v>417</v>
      </c>
      <c r="F497" s="93"/>
      <c r="G497" s="16"/>
      <c r="H497" s="105" t="str">
        <f t="shared" si="99"/>
        <v>FI-JR-01-F-ZA</v>
      </c>
      <c r="I497" s="91" t="s">
        <v>1108</v>
      </c>
      <c r="J497" s="92" t="s">
        <v>513</v>
      </c>
      <c r="K497" s="16"/>
      <c r="L497" s="167"/>
      <c r="M497" s="95"/>
      <c r="N497" s="95"/>
      <c r="O497" s="95"/>
      <c r="P497" s="95"/>
      <c r="R497" s="89"/>
    </row>
    <row r="498" spans="1:20" x14ac:dyDescent="0.25">
      <c r="A498" s="48"/>
      <c r="B498" s="90"/>
      <c r="C498" s="102" t="str">
        <f t="shared" si="98"/>
        <v>FI-JR-01-F-KE</v>
      </c>
      <c r="D498" s="91" t="s">
        <v>1101</v>
      </c>
      <c r="E498" s="103" t="s">
        <v>426</v>
      </c>
      <c r="F498" s="93"/>
      <c r="G498" s="16"/>
      <c r="H498" s="105" t="str">
        <f t="shared" si="99"/>
        <v>FI-JR-01-F-SS</v>
      </c>
      <c r="I498" s="91" t="s">
        <v>1089</v>
      </c>
      <c r="J498" s="92" t="s">
        <v>1088</v>
      </c>
      <c r="K498" s="16"/>
      <c r="L498" s="94"/>
      <c r="M498" s="95"/>
      <c r="N498" s="95"/>
      <c r="O498" s="95"/>
      <c r="P498" s="95"/>
      <c r="R498" s="89"/>
    </row>
    <row r="499" spans="1:20" ht="25.5" x14ac:dyDescent="0.25">
      <c r="A499" s="48"/>
      <c r="B499" s="90"/>
      <c r="C499" s="102" t="str">
        <f t="shared" si="98"/>
        <v>FI-JR-01-F-KP</v>
      </c>
      <c r="D499" s="91" t="s">
        <v>1090</v>
      </c>
      <c r="E499" s="103" t="s">
        <v>428</v>
      </c>
      <c r="F499" s="96"/>
      <c r="G499" s="16"/>
      <c r="H499" s="105" t="str">
        <f t="shared" si="99"/>
        <v>FI-JR-01-F-SY</v>
      </c>
      <c r="I499" s="91" t="s">
        <v>1109</v>
      </c>
      <c r="J499" s="92" t="s">
        <v>523</v>
      </c>
      <c r="K499" s="16"/>
      <c r="L499" s="94"/>
      <c r="M499" s="95"/>
      <c r="N499" s="95"/>
      <c r="O499" s="95"/>
      <c r="P499" s="95"/>
      <c r="R499" s="89"/>
    </row>
    <row r="500" spans="1:20" x14ac:dyDescent="0.25">
      <c r="B500" s="90"/>
      <c r="C500" s="90"/>
      <c r="D500" s="112"/>
      <c r="E500" s="10"/>
      <c r="F500" s="10"/>
      <c r="G500" s="10"/>
      <c r="H500" s="10"/>
      <c r="I500" s="10"/>
      <c r="J500" s="10"/>
      <c r="K500" s="10"/>
      <c r="L500" s="10"/>
      <c r="M500" s="10"/>
      <c r="N500" s="10"/>
      <c r="O500" s="95"/>
      <c r="P500" s="95"/>
      <c r="R500" s="89"/>
      <c r="T500" s="11"/>
    </row>
    <row r="501" spans="1:20" ht="7.35" customHeight="1" x14ac:dyDescent="0.25">
      <c r="B501" s="71"/>
      <c r="C501" s="71"/>
      <c r="D501" s="15"/>
      <c r="E501" s="15"/>
      <c r="F501" s="15"/>
      <c r="G501" s="15"/>
      <c r="H501" s="15"/>
      <c r="I501" s="15"/>
      <c r="J501" s="15"/>
      <c r="K501" s="15"/>
      <c r="L501" s="15"/>
      <c r="M501" s="72"/>
      <c r="N501" s="72"/>
      <c r="O501" s="72"/>
      <c r="P501" s="72"/>
      <c r="Q501" s="73"/>
      <c r="R501" s="74"/>
    </row>
    <row r="502" spans="1:20" ht="7.15" customHeight="1" x14ac:dyDescent="0.25">
      <c r="A502" s="75"/>
      <c r="B502" s="76"/>
      <c r="C502" s="76"/>
      <c r="D502" s="77"/>
      <c r="E502" s="77"/>
      <c r="F502" s="77"/>
      <c r="G502" s="77"/>
      <c r="H502" s="77"/>
      <c r="I502" s="77"/>
      <c r="J502" s="77"/>
      <c r="K502" s="77"/>
      <c r="L502" s="77"/>
      <c r="M502" s="77"/>
      <c r="N502" s="77"/>
      <c r="O502" s="77"/>
      <c r="P502" s="77"/>
      <c r="Q502" s="75"/>
      <c r="R502" s="78"/>
      <c r="S502" s="75"/>
      <c r="T502" s="12"/>
    </row>
    <row r="503" spans="1:20" ht="6.75" customHeight="1" x14ac:dyDescent="0.25">
      <c r="B503" s="71"/>
      <c r="C503" s="71"/>
      <c r="D503" s="15"/>
      <c r="E503" s="15"/>
      <c r="F503" s="15"/>
      <c r="G503" s="15"/>
      <c r="H503" s="15"/>
      <c r="I503" s="15"/>
      <c r="J503" s="15"/>
      <c r="K503" s="15"/>
      <c r="L503" s="15"/>
      <c r="M503" s="15"/>
      <c r="N503" s="15"/>
      <c r="O503" s="15"/>
      <c r="P503" s="15"/>
      <c r="R503" s="74"/>
    </row>
    <row r="504" spans="1:20" ht="19.5" thickBot="1" x14ac:dyDescent="0.3">
      <c r="B504" s="38" t="s">
        <v>137</v>
      </c>
      <c r="C504" s="38"/>
      <c r="D504" s="39" t="s">
        <v>1159</v>
      </c>
      <c r="E504" s="40"/>
      <c r="F504" s="40"/>
      <c r="G504" s="40"/>
      <c r="H504" s="40"/>
      <c r="I504" s="40"/>
      <c r="J504" s="40"/>
      <c r="K504" s="40"/>
      <c r="L504" s="40"/>
      <c r="M504" s="40"/>
      <c r="N504" s="40"/>
      <c r="O504" s="40"/>
      <c r="P504" s="40"/>
      <c r="Q504" s="37"/>
      <c r="R504" s="42"/>
      <c r="S504" s="37"/>
    </row>
    <row r="505" spans="1:20" ht="21.6" customHeight="1" x14ac:dyDescent="0.25"/>
    <row r="506" spans="1:20" ht="37.5" customHeight="1" x14ac:dyDescent="0.25">
      <c r="B506" s="15" t="s">
        <v>762</v>
      </c>
      <c r="D506" s="186" t="s">
        <v>1157</v>
      </c>
      <c r="E506" s="186"/>
      <c r="F506" s="186"/>
      <c r="G506" s="186"/>
      <c r="H506" s="186"/>
      <c r="I506" s="186"/>
      <c r="J506" s="186"/>
      <c r="K506" s="186"/>
      <c r="L506" s="186"/>
      <c r="M506" s="186"/>
      <c r="N506" s="186"/>
      <c r="O506" s="186"/>
      <c r="P506" s="52"/>
      <c r="R506" s="10"/>
    </row>
    <row r="507" spans="1:20" ht="52.5" customHeight="1" x14ac:dyDescent="0.25">
      <c r="D507" s="190" t="s">
        <v>1349</v>
      </c>
      <c r="E507" s="190"/>
      <c r="F507" s="190"/>
      <c r="G507" s="190"/>
      <c r="H507" s="190"/>
      <c r="I507" s="190"/>
      <c r="J507" s="190"/>
      <c r="K507" s="190"/>
      <c r="L507" s="190"/>
      <c r="M507" s="190"/>
      <c r="N507" s="190"/>
      <c r="O507" s="190"/>
      <c r="P507" s="190"/>
      <c r="R507" s="101"/>
    </row>
    <row r="508" spans="1:20" ht="15" customHeight="1" x14ac:dyDescent="0.25">
      <c r="B508" s="46" t="str">
        <f>B506&amp;"-M"</f>
        <v>FI-JR-57-M</v>
      </c>
      <c r="C508" s="46"/>
      <c r="D508" s="84"/>
      <c r="E508" s="189" t="s">
        <v>448</v>
      </c>
      <c r="F508" s="189"/>
      <c r="G508" s="189"/>
      <c r="H508" s="189"/>
      <c r="I508" s="189"/>
      <c r="J508" s="189"/>
      <c r="K508" s="189"/>
      <c r="L508" s="189"/>
      <c r="M508" s="189"/>
      <c r="N508" s="189"/>
      <c r="O508" s="189"/>
      <c r="P508" s="52"/>
      <c r="R508" s="67"/>
      <c r="T508" s="11" t="str">
        <f>IF(OR(AND(ISBLANK(R508),CR.71&gt;0),AND(CR.71&lt;=0,NOT(ISBLANK(R508)))),"R","G")</f>
        <v>G</v>
      </c>
    </row>
    <row r="509" spans="1:20" ht="15" customHeight="1" x14ac:dyDescent="0.25">
      <c r="B509" s="46" t="str">
        <f>B506&amp;"-E"</f>
        <v>FI-JR-57-E</v>
      </c>
      <c r="C509" s="46"/>
      <c r="D509" s="84"/>
      <c r="E509" s="189" t="s">
        <v>1084</v>
      </c>
      <c r="F509" s="189"/>
      <c r="G509" s="189"/>
      <c r="H509" s="189"/>
      <c r="I509" s="189"/>
      <c r="J509" s="189"/>
      <c r="K509" s="189"/>
      <c r="L509" s="189"/>
      <c r="M509" s="189"/>
      <c r="N509" s="189"/>
      <c r="O509" s="189"/>
      <c r="P509" s="52"/>
      <c r="R509" s="67"/>
      <c r="T509" s="11" t="str">
        <f>IF(OR(AND(ISBLANK(R509),CR.71&gt;0),AND(CR.71&lt;=0,NOT(ISBLANK(R509)))),"R","G")</f>
        <v>G</v>
      </c>
    </row>
    <row r="510" spans="1:20" ht="15" customHeight="1" x14ac:dyDescent="0.25">
      <c r="B510" s="46" t="str">
        <f>B506&amp;"-N"</f>
        <v>FI-JR-57-N</v>
      </c>
      <c r="C510" s="46"/>
      <c r="D510" s="84"/>
      <c r="E510" s="189" t="s">
        <v>1085</v>
      </c>
      <c r="F510" s="189"/>
      <c r="G510" s="189"/>
      <c r="H510" s="189"/>
      <c r="I510" s="189"/>
      <c r="J510" s="189"/>
      <c r="K510" s="189"/>
      <c r="L510" s="189"/>
      <c r="M510" s="189"/>
      <c r="N510" s="189"/>
      <c r="O510" s="189"/>
      <c r="P510" s="52"/>
      <c r="R510" s="67"/>
      <c r="T510" s="11" t="str">
        <f>IF(OR(AND(ISBLANK(R510),CR.71&gt;0),AND(CR.71&lt;=0,NOT(ISBLANK(R510)))),"R","G")</f>
        <v>G</v>
      </c>
    </row>
    <row r="511" spans="1:20" ht="27" customHeight="1" x14ac:dyDescent="0.25">
      <c r="B511" s="46" t="str">
        <f>B506&amp;"-F"</f>
        <v>FI-JR-57-F</v>
      </c>
      <c r="C511" s="46"/>
      <c r="D511" s="84"/>
      <c r="E511" s="191" t="s">
        <v>1086</v>
      </c>
      <c r="F511" s="191"/>
      <c r="G511" s="191"/>
      <c r="H511" s="191"/>
      <c r="I511" s="191"/>
      <c r="J511" s="191"/>
      <c r="K511" s="191"/>
      <c r="L511" s="191"/>
      <c r="M511" s="191"/>
      <c r="N511" s="191"/>
      <c r="O511" s="191"/>
      <c r="P511" s="86"/>
      <c r="R511" s="67"/>
      <c r="T511" s="11" t="str">
        <f>IF(OR(AND(ISBLANK(R511),CR.71&gt;0),AND(CR.71&lt;=0,NOT(ISBLANK(R511)))),"R","G")</f>
        <v>G</v>
      </c>
    </row>
    <row r="512" spans="1:20" ht="9.75" customHeight="1" x14ac:dyDescent="0.25">
      <c r="B512" s="10"/>
      <c r="C512" s="10"/>
      <c r="D512" s="10"/>
      <c r="E512" s="10"/>
      <c r="F512" s="10"/>
      <c r="G512" s="10"/>
      <c r="H512" s="10"/>
      <c r="I512" s="10"/>
      <c r="J512" s="10"/>
      <c r="K512" s="10"/>
      <c r="L512" s="10"/>
      <c r="M512" s="10"/>
      <c r="N512" s="10"/>
      <c r="O512" s="10"/>
      <c r="P512" s="10"/>
      <c r="R512" s="10"/>
    </row>
    <row r="513" spans="2:20" ht="15" customHeight="1" x14ac:dyDescent="0.25">
      <c r="B513" s="87"/>
      <c r="C513" s="87"/>
      <c r="D513" s="192" t="str">
        <f>IF(R511=0,"",IF(SUM(G514:G526,K514:K526,O514:O520)=R511,"","The totals included next to each jurisdiction do not add up to "&amp;R511&amp;", please revise the figures."))</f>
        <v/>
      </c>
      <c r="E513" s="192"/>
      <c r="F513" s="192"/>
      <c r="G513" s="192"/>
      <c r="H513" s="192"/>
      <c r="I513" s="192"/>
      <c r="J513" s="192"/>
      <c r="K513" s="192"/>
      <c r="L513" s="192"/>
      <c r="M513" s="192"/>
      <c r="N513" s="192"/>
      <c r="O513" s="192"/>
      <c r="P513" s="88"/>
      <c r="R513" s="89"/>
      <c r="T513" s="11" t="str">
        <f>IF(D513="","G","R")</f>
        <v>G</v>
      </c>
    </row>
    <row r="514" spans="2:20" ht="25.5" x14ac:dyDescent="0.25">
      <c r="B514" s="90"/>
      <c r="C514" s="102" t="str">
        <f>$B$511&amp;"-"&amp;D514</f>
        <v>FI-JR-57-F-AF</v>
      </c>
      <c r="D514" s="91" t="s">
        <v>1093</v>
      </c>
      <c r="E514" s="103" t="s">
        <v>317</v>
      </c>
      <c r="F514" s="93"/>
      <c r="G514" s="116">
        <v>0</v>
      </c>
      <c r="H514" s="105" t="str">
        <f>$B$511&amp;"-"&amp;I514</f>
        <v>FI-JR-57-F-LA</v>
      </c>
      <c r="I514" s="91" t="s">
        <v>1317</v>
      </c>
      <c r="J514" s="92" t="s">
        <v>1312</v>
      </c>
      <c r="K514" s="116">
        <v>0</v>
      </c>
      <c r="L514" s="105" t="str">
        <f>$B$511&amp;"-"&amp;M514</f>
        <v>FI-JR-57-F-TZ</v>
      </c>
      <c r="M514" s="91" t="s">
        <v>1110</v>
      </c>
      <c r="N514" s="92" t="s">
        <v>526</v>
      </c>
      <c r="O514" s="99">
        <v>0</v>
      </c>
      <c r="P514" s="95"/>
      <c r="R514" s="89"/>
      <c r="T514" s="11" t="str">
        <f>IF(OR(AND(OR(ISBLANK(G514),ISBLANK(K514),ISBLANK(O514)),$R$511&gt;0),AND($R$511&lt;=0,OR(OR(G514&lt;&gt;0,K514&lt;&gt;0,O514&lt;&gt;0)))),"R","G")</f>
        <v>G</v>
      </c>
    </row>
    <row r="515" spans="2:20" x14ac:dyDescent="0.25">
      <c r="B515" s="90"/>
      <c r="C515" s="102" t="str">
        <f t="shared" ref="C515:C526" si="101">$B$511&amp;"-"&amp;D515</f>
        <v>FI-JR-57-F-DZ</v>
      </c>
      <c r="D515" s="91" t="s">
        <v>1094</v>
      </c>
      <c r="E515" s="103" t="s">
        <v>319</v>
      </c>
      <c r="F515" s="93"/>
      <c r="G515" s="116">
        <v>0</v>
      </c>
      <c r="H515" s="105" t="str">
        <f t="shared" ref="H515:H526" si="102">$B$511&amp;"-"&amp;I515</f>
        <v>FI-JR-57-F-LB</v>
      </c>
      <c r="I515" s="91" t="s">
        <v>1102</v>
      </c>
      <c r="J515" s="92" t="s">
        <v>434</v>
      </c>
      <c r="K515" s="116">
        <v>0</v>
      </c>
      <c r="L515" s="105" t="str">
        <f t="shared" ref="L515:L520" si="103">$B$511&amp;"-"&amp;M515</f>
        <v>FI-JR-57-F-TT</v>
      </c>
      <c r="M515" s="91" t="s">
        <v>1111</v>
      </c>
      <c r="N515" s="92" t="s">
        <v>532</v>
      </c>
      <c r="O515" s="99">
        <v>0</v>
      </c>
      <c r="P515" s="95"/>
      <c r="R515" s="89"/>
      <c r="T515" s="11" t="str">
        <f t="shared" ref="T515:T520" si="104">IF(OR(AND(OR(ISBLANK(G515),ISBLANK(K515),ISBLANK(O515)),$R$511&gt;0),AND($R$511&lt;=0,OR(OR(G515&lt;&gt;0,K515&lt;&gt;0,O515&lt;&gt;0)))),"R","G")</f>
        <v>G</v>
      </c>
    </row>
    <row r="516" spans="2:20" x14ac:dyDescent="0.25">
      <c r="B516" s="90"/>
      <c r="C516" s="102" t="str">
        <f t="shared" si="101"/>
        <v>FI-JR-57-F-AO</v>
      </c>
      <c r="D516" s="91" t="s">
        <v>1095</v>
      </c>
      <c r="E516" s="103" t="s">
        <v>322</v>
      </c>
      <c r="F516" s="93"/>
      <c r="G516" s="116">
        <v>0</v>
      </c>
      <c r="H516" s="105" t="str">
        <f t="shared" si="102"/>
        <v>FI-JR-57-F-ML</v>
      </c>
      <c r="I516" s="91" t="s">
        <v>1103</v>
      </c>
      <c r="J516" s="92" t="s">
        <v>447</v>
      </c>
      <c r="K516" s="116">
        <v>0</v>
      </c>
      <c r="L516" s="105" t="str">
        <f t="shared" si="103"/>
        <v>FI-JR-57-F-VU</v>
      </c>
      <c r="M516" s="91" t="s">
        <v>1112</v>
      </c>
      <c r="N516" s="92" t="s">
        <v>546</v>
      </c>
      <c r="O516" s="99">
        <v>0</v>
      </c>
      <c r="P516" s="95"/>
      <c r="R516" s="89"/>
      <c r="T516" s="11" t="str">
        <f t="shared" si="104"/>
        <v>G</v>
      </c>
    </row>
    <row r="517" spans="2:20" x14ac:dyDescent="0.25">
      <c r="B517" s="90"/>
      <c r="C517" s="102" t="str">
        <f t="shared" si="101"/>
        <v>FI-JR-57-F-BO</v>
      </c>
      <c r="D517" s="91" t="s">
        <v>1316</v>
      </c>
      <c r="E517" s="103" t="s">
        <v>342</v>
      </c>
      <c r="F517" s="93"/>
      <c r="G517" s="116">
        <v>0</v>
      </c>
      <c r="H517" s="105" t="str">
        <f t="shared" si="102"/>
        <v>FI-JR-57-F-MN</v>
      </c>
      <c r="I517" s="91" t="s">
        <v>1315</v>
      </c>
      <c r="J517" s="92" t="s">
        <v>457</v>
      </c>
      <c r="K517" s="116">
        <v>0</v>
      </c>
      <c r="L517" s="105" t="str">
        <f t="shared" si="103"/>
        <v>FI-JR-57-F-VE</v>
      </c>
      <c r="M517" s="91" t="s">
        <v>1113</v>
      </c>
      <c r="N517" s="92" t="s">
        <v>547</v>
      </c>
      <c r="O517" s="99">
        <v>0</v>
      </c>
      <c r="P517" s="95"/>
      <c r="R517" s="89"/>
      <c r="T517" s="11" t="str">
        <f t="shared" si="104"/>
        <v>G</v>
      </c>
    </row>
    <row r="518" spans="2:20" x14ac:dyDescent="0.25">
      <c r="B518" s="90"/>
      <c r="C518" s="102" t="str">
        <f t="shared" si="101"/>
        <v>FI-JR-57-F-BG</v>
      </c>
      <c r="D518" s="91" t="s">
        <v>1096</v>
      </c>
      <c r="E518" s="103" t="s">
        <v>349</v>
      </c>
      <c r="F518" s="93"/>
      <c r="G518" s="116">
        <v>0</v>
      </c>
      <c r="H518" s="105" t="str">
        <f t="shared" si="102"/>
        <v>FI-JR-57-F-MZ</v>
      </c>
      <c r="I518" s="91" t="s">
        <v>1104</v>
      </c>
      <c r="J518" s="92" t="s">
        <v>461</v>
      </c>
      <c r="K518" s="116">
        <v>0</v>
      </c>
      <c r="L518" s="105" t="str">
        <f t="shared" si="103"/>
        <v>FI-JR-57-F-VN</v>
      </c>
      <c r="M518" s="91" t="s">
        <v>1114</v>
      </c>
      <c r="N518" s="92" t="s">
        <v>1313</v>
      </c>
      <c r="O518" s="99">
        <v>0</v>
      </c>
      <c r="P518" s="95"/>
      <c r="R518" s="89"/>
      <c r="T518" s="11" t="str">
        <f t="shared" si="104"/>
        <v>G</v>
      </c>
    </row>
    <row r="519" spans="2:20" x14ac:dyDescent="0.25">
      <c r="B519" s="90"/>
      <c r="C519" s="102" t="str">
        <f t="shared" si="101"/>
        <v>FI-JR-57-F-BF</v>
      </c>
      <c r="D519" s="91" t="s">
        <v>1097</v>
      </c>
      <c r="E519" s="103" t="s">
        <v>350</v>
      </c>
      <c r="F519" s="93"/>
      <c r="G519" s="116">
        <v>0</v>
      </c>
      <c r="H519" s="105" t="str">
        <f t="shared" si="102"/>
        <v>FI-JR-57-F-MM</v>
      </c>
      <c r="I519" s="91" t="s">
        <v>1105</v>
      </c>
      <c r="J519" s="92" t="s">
        <v>462</v>
      </c>
      <c r="K519" s="116">
        <v>0</v>
      </c>
      <c r="L519" s="105" t="str">
        <f t="shared" si="103"/>
        <v>FI-JR-57-F-VI</v>
      </c>
      <c r="M519" s="91" t="s">
        <v>1319</v>
      </c>
      <c r="N519" s="92" t="s">
        <v>1314</v>
      </c>
      <c r="O519" s="99">
        <v>0</v>
      </c>
      <c r="P519" s="95"/>
      <c r="R519" s="89"/>
      <c r="T519" s="11" t="str">
        <f t="shared" si="104"/>
        <v>G</v>
      </c>
    </row>
    <row r="520" spans="2:20" x14ac:dyDescent="0.25">
      <c r="B520" s="90"/>
      <c r="C520" s="102" t="str">
        <f t="shared" si="101"/>
        <v>FI-JR-57-F-CM</v>
      </c>
      <c r="D520" s="91" t="s">
        <v>1098</v>
      </c>
      <c r="E520" s="103" t="s">
        <v>353</v>
      </c>
      <c r="F520" s="93"/>
      <c r="G520" s="116">
        <v>0</v>
      </c>
      <c r="H520" s="105" t="str">
        <f t="shared" si="102"/>
        <v>FI-JR-57-F-NA</v>
      </c>
      <c r="I520" s="91" t="s">
        <v>1106</v>
      </c>
      <c r="J520" s="92" t="s">
        <v>463</v>
      </c>
      <c r="K520" s="116">
        <v>0</v>
      </c>
      <c r="L520" s="105" t="str">
        <f t="shared" si="103"/>
        <v>FI-JR-57-F-YE</v>
      </c>
      <c r="M520" s="91" t="s">
        <v>1115</v>
      </c>
      <c r="N520" s="92" t="s">
        <v>553</v>
      </c>
      <c r="O520" s="99">
        <v>0</v>
      </c>
      <c r="P520" s="95"/>
      <c r="R520" s="89"/>
      <c r="T520" s="11" t="str">
        <f t="shared" si="104"/>
        <v>G</v>
      </c>
    </row>
    <row r="521" spans="2:20" ht="38.25" x14ac:dyDescent="0.25">
      <c r="B521" s="90"/>
      <c r="C521" s="102" t="str">
        <f t="shared" si="101"/>
        <v>FI-JR-57-F-CD</v>
      </c>
      <c r="D521" s="91" t="s">
        <v>1099</v>
      </c>
      <c r="E521" s="103" t="s">
        <v>366</v>
      </c>
      <c r="F521" s="93"/>
      <c r="G521" s="116">
        <v>0</v>
      </c>
      <c r="H521" s="105" t="str">
        <f t="shared" si="102"/>
        <v>FI-JR-57-F-NP</v>
      </c>
      <c r="I521" s="91" t="s">
        <v>1318</v>
      </c>
      <c r="J521" s="92" t="s">
        <v>465</v>
      </c>
      <c r="K521" s="116">
        <v>0</v>
      </c>
      <c r="L521" s="95"/>
      <c r="M521" s="95"/>
      <c r="N521" s="95"/>
      <c r="O521" s="95"/>
      <c r="P521" s="95"/>
      <c r="R521" s="89"/>
      <c r="T521" s="11" t="str">
        <f t="shared" ref="T521:T526" si="105">IF(OR(AND(OR(ISBLANK(G521),ISBLANK(K521)),$R$511&gt;0),AND($R$511&lt;=0,OR(OR(G521&lt;&gt;0,K521&lt;&gt;0)))),"R","G")</f>
        <v>G</v>
      </c>
    </row>
    <row r="522" spans="2:20" x14ac:dyDescent="0.25">
      <c r="B522" s="90"/>
      <c r="C522" s="102" t="str">
        <f t="shared" si="101"/>
        <v>FI-JR-57-F-CI</v>
      </c>
      <c r="D522" s="91" t="s">
        <v>1091</v>
      </c>
      <c r="E522" s="103" t="s">
        <v>369</v>
      </c>
      <c r="F522" s="93"/>
      <c r="G522" s="116">
        <v>0</v>
      </c>
      <c r="H522" s="105" t="str">
        <f t="shared" si="102"/>
        <v>FI-JR-57-F-NG</v>
      </c>
      <c r="I522" s="91" t="s">
        <v>1107</v>
      </c>
      <c r="J522" s="92" t="s">
        <v>472</v>
      </c>
      <c r="K522" s="116">
        <v>0</v>
      </c>
      <c r="L522" s="95"/>
      <c r="M522" s="95"/>
      <c r="N522" s="95"/>
      <c r="O522" s="95"/>
      <c r="P522" s="95"/>
      <c r="R522" s="89"/>
      <c r="T522" s="11" t="str">
        <f t="shared" si="105"/>
        <v>G</v>
      </c>
    </row>
    <row r="523" spans="2:20" x14ac:dyDescent="0.25">
      <c r="B523" s="90"/>
      <c r="C523" s="102" t="str">
        <f t="shared" si="101"/>
        <v>FI-JR-57-F-HT</v>
      </c>
      <c r="D523" s="91" t="s">
        <v>1100</v>
      </c>
      <c r="E523" s="103" t="s">
        <v>408</v>
      </c>
      <c r="F523" s="93"/>
      <c r="G523" s="116">
        <v>0</v>
      </c>
      <c r="H523" s="105" t="str">
        <f t="shared" si="102"/>
        <v>FI-JR-57-F-RU</v>
      </c>
      <c r="I523" s="91" t="s">
        <v>1321</v>
      </c>
      <c r="J523" s="92" t="s">
        <v>1320</v>
      </c>
      <c r="K523" s="116">
        <v>0</v>
      </c>
      <c r="L523" s="95"/>
      <c r="M523" s="95"/>
      <c r="N523" s="95"/>
      <c r="O523" s="95"/>
      <c r="P523" s="95"/>
      <c r="R523" s="89"/>
      <c r="T523" s="11" t="str">
        <f t="shared" si="105"/>
        <v>G</v>
      </c>
    </row>
    <row r="524" spans="2:20" ht="25.5" x14ac:dyDescent="0.25">
      <c r="B524" s="90"/>
      <c r="C524" s="102" t="str">
        <f t="shared" si="101"/>
        <v>FI-JR-57-F-IR</v>
      </c>
      <c r="D524" s="91" t="s">
        <v>912</v>
      </c>
      <c r="E524" s="103" t="s">
        <v>417</v>
      </c>
      <c r="F524" s="93"/>
      <c r="G524" s="116">
        <v>0</v>
      </c>
      <c r="H524" s="105" t="str">
        <f t="shared" si="102"/>
        <v>FI-JR-57-F-ZA</v>
      </c>
      <c r="I524" s="91" t="s">
        <v>1108</v>
      </c>
      <c r="J524" s="92" t="s">
        <v>513</v>
      </c>
      <c r="K524" s="116">
        <v>0</v>
      </c>
      <c r="L524" s="95"/>
      <c r="M524" s="95"/>
      <c r="N524" s="95"/>
      <c r="O524" s="95"/>
      <c r="P524" s="95"/>
      <c r="R524" s="89"/>
      <c r="T524" s="11" t="str">
        <f t="shared" si="105"/>
        <v>G</v>
      </c>
    </row>
    <row r="525" spans="2:20" x14ac:dyDescent="0.25">
      <c r="B525" s="90"/>
      <c r="C525" s="102" t="str">
        <f t="shared" si="101"/>
        <v>FI-JR-57-F-KE</v>
      </c>
      <c r="D525" s="91" t="s">
        <v>1101</v>
      </c>
      <c r="E525" s="103" t="s">
        <v>426</v>
      </c>
      <c r="F525" s="93"/>
      <c r="G525" s="116">
        <v>0</v>
      </c>
      <c r="H525" s="105" t="str">
        <f t="shared" si="102"/>
        <v>FI-JR-57-F-SS</v>
      </c>
      <c r="I525" s="91" t="s">
        <v>1089</v>
      </c>
      <c r="J525" s="92" t="s">
        <v>1088</v>
      </c>
      <c r="K525" s="99">
        <v>0</v>
      </c>
      <c r="L525" s="95"/>
      <c r="M525" s="95"/>
      <c r="N525" s="95"/>
      <c r="O525" s="95"/>
      <c r="P525" s="95"/>
      <c r="R525" s="89"/>
      <c r="T525" s="11" t="str">
        <f t="shared" si="105"/>
        <v>G</v>
      </c>
    </row>
    <row r="526" spans="2:20" ht="25.5" x14ac:dyDescent="0.25">
      <c r="B526" s="90"/>
      <c r="C526" s="102" t="str">
        <f t="shared" si="101"/>
        <v>FI-JR-57-F-KP</v>
      </c>
      <c r="D526" s="91" t="s">
        <v>1090</v>
      </c>
      <c r="E526" s="103" t="s">
        <v>428</v>
      </c>
      <c r="F526" s="96"/>
      <c r="G526" s="116">
        <v>0</v>
      </c>
      <c r="H526" s="105" t="str">
        <f t="shared" si="102"/>
        <v>FI-JR-57-F-SY</v>
      </c>
      <c r="I526" s="91" t="s">
        <v>1109</v>
      </c>
      <c r="J526" s="92" t="s">
        <v>523</v>
      </c>
      <c r="K526" s="99">
        <v>0</v>
      </c>
      <c r="L526" s="94"/>
      <c r="M526" s="95"/>
      <c r="N526" s="95"/>
      <c r="O526" s="95"/>
      <c r="P526" s="95"/>
      <c r="R526" s="89"/>
      <c r="T526" s="11" t="str">
        <f t="shared" si="105"/>
        <v>G</v>
      </c>
    </row>
    <row r="527" spans="2:20" x14ac:dyDescent="0.25">
      <c r="E527" s="52"/>
      <c r="F527" s="52"/>
      <c r="G527" s="52"/>
      <c r="H527" s="52"/>
      <c r="I527" s="52"/>
      <c r="J527" s="52"/>
      <c r="K527" s="52"/>
      <c r="L527" s="52"/>
      <c r="M527" s="52"/>
      <c r="N527" s="52"/>
      <c r="O527" s="52"/>
      <c r="P527" s="52"/>
    </row>
    <row r="528" spans="2:20" ht="37.5" customHeight="1" x14ac:dyDescent="0.25">
      <c r="B528" s="15" t="s">
        <v>763</v>
      </c>
      <c r="D528" s="186" t="s">
        <v>1158</v>
      </c>
      <c r="E528" s="186"/>
      <c r="F528" s="186"/>
      <c r="G528" s="186"/>
      <c r="H528" s="186"/>
      <c r="I528" s="186"/>
      <c r="J528" s="186"/>
      <c r="K528" s="186"/>
      <c r="L528" s="186"/>
      <c r="M528" s="186"/>
      <c r="N528" s="186"/>
      <c r="O528" s="186"/>
      <c r="P528" s="52"/>
      <c r="R528" s="10"/>
    </row>
    <row r="529" spans="2:20" ht="52.5" customHeight="1" x14ac:dyDescent="0.25">
      <c r="D529" s="190" t="s">
        <v>1349</v>
      </c>
      <c r="E529" s="190"/>
      <c r="F529" s="190"/>
      <c r="G529" s="190"/>
      <c r="H529" s="190"/>
      <c r="I529" s="190"/>
      <c r="J529" s="190"/>
      <c r="K529" s="190"/>
      <c r="L529" s="190"/>
      <c r="M529" s="190"/>
      <c r="N529" s="190"/>
      <c r="O529" s="190"/>
      <c r="P529" s="190"/>
      <c r="R529" s="101"/>
    </row>
    <row r="530" spans="2:20" ht="15" customHeight="1" x14ac:dyDescent="0.25">
      <c r="B530" s="46" t="str">
        <f>B528&amp;"-M"</f>
        <v>FI-JR-58-M</v>
      </c>
      <c r="C530" s="46"/>
      <c r="D530" s="84"/>
      <c r="E530" s="189" t="s">
        <v>448</v>
      </c>
      <c r="F530" s="189"/>
      <c r="G530" s="189"/>
      <c r="H530" s="189"/>
      <c r="I530" s="189"/>
      <c r="J530" s="189"/>
      <c r="K530" s="189"/>
      <c r="L530" s="189"/>
      <c r="M530" s="189"/>
      <c r="N530" s="189"/>
      <c r="O530" s="189"/>
      <c r="P530" s="52"/>
      <c r="R530" s="67"/>
      <c r="T530" s="11" t="str">
        <f>IF(OR(AND(ISBLANK(R530),CR.72&gt;0),AND(CR.72&lt;=0,NOT(ISBLANK(R530)))),"R","G")</f>
        <v>G</v>
      </c>
    </row>
    <row r="531" spans="2:20" ht="15" customHeight="1" x14ac:dyDescent="0.25">
      <c r="B531" s="46" t="str">
        <f>B528&amp;"-E"</f>
        <v>FI-JR-58-E</v>
      </c>
      <c r="C531" s="46"/>
      <c r="D531" s="84"/>
      <c r="E531" s="189" t="s">
        <v>1084</v>
      </c>
      <c r="F531" s="189"/>
      <c r="G531" s="189"/>
      <c r="H531" s="189"/>
      <c r="I531" s="189"/>
      <c r="J531" s="189"/>
      <c r="K531" s="189"/>
      <c r="L531" s="189"/>
      <c r="M531" s="189"/>
      <c r="N531" s="189"/>
      <c r="O531" s="189"/>
      <c r="P531" s="52"/>
      <c r="R531" s="67"/>
      <c r="T531" s="11" t="str">
        <f>IF(OR(AND(ISBLANK(R531),CR.72&gt;0),AND(CR.72&lt;=0,NOT(ISBLANK(R531)))),"R","G")</f>
        <v>G</v>
      </c>
    </row>
    <row r="532" spans="2:20" ht="15" customHeight="1" x14ac:dyDescent="0.25">
      <c r="B532" s="46" t="str">
        <f>B528&amp;"-N"</f>
        <v>FI-JR-58-N</v>
      </c>
      <c r="C532" s="46"/>
      <c r="D532" s="84"/>
      <c r="E532" s="189" t="s">
        <v>1085</v>
      </c>
      <c r="F532" s="189"/>
      <c r="G532" s="189"/>
      <c r="H532" s="189"/>
      <c r="I532" s="189"/>
      <c r="J532" s="189"/>
      <c r="K532" s="189"/>
      <c r="L532" s="189"/>
      <c r="M532" s="189"/>
      <c r="N532" s="189"/>
      <c r="O532" s="189"/>
      <c r="P532" s="52"/>
      <c r="R532" s="67"/>
      <c r="T532" s="11" t="str">
        <f>IF(OR(AND(ISBLANK(R532),CR.72&gt;0),AND(CR.72&lt;=0,NOT(ISBLANK(R532)))),"R","G")</f>
        <v>G</v>
      </c>
    </row>
    <row r="533" spans="2:20" ht="27" customHeight="1" x14ac:dyDescent="0.25">
      <c r="B533" s="46" t="str">
        <f>B528&amp;"-F"</f>
        <v>FI-JR-58-F</v>
      </c>
      <c r="C533" s="46"/>
      <c r="D533" s="84"/>
      <c r="E533" s="191" t="s">
        <v>1086</v>
      </c>
      <c r="F533" s="191"/>
      <c r="G533" s="191"/>
      <c r="H533" s="191"/>
      <c r="I533" s="191"/>
      <c r="J533" s="191"/>
      <c r="K533" s="191"/>
      <c r="L533" s="191"/>
      <c r="M533" s="191"/>
      <c r="N533" s="191"/>
      <c r="O533" s="191"/>
      <c r="P533" s="86"/>
      <c r="R533" s="67"/>
      <c r="T533" s="11" t="str">
        <f>IF(OR(AND(ISBLANK(R533),CR.72&gt;0),AND(CR.72&lt;=0,NOT(ISBLANK(R533)))),"R","G")</f>
        <v>G</v>
      </c>
    </row>
    <row r="534" spans="2:20" ht="9.75" customHeight="1" x14ac:dyDescent="0.25">
      <c r="B534" s="10"/>
      <c r="C534" s="10"/>
      <c r="D534" s="10"/>
      <c r="E534" s="10"/>
      <c r="F534" s="10"/>
      <c r="G534" s="10"/>
      <c r="H534" s="10"/>
      <c r="I534" s="10"/>
      <c r="J534" s="10"/>
      <c r="K534" s="10"/>
      <c r="L534" s="10"/>
      <c r="M534" s="10"/>
      <c r="N534" s="10"/>
      <c r="O534" s="10"/>
      <c r="P534" s="10"/>
      <c r="R534" s="10"/>
    </row>
    <row r="535" spans="2:20" ht="15" customHeight="1" x14ac:dyDescent="0.25">
      <c r="B535" s="87"/>
      <c r="C535" s="87"/>
      <c r="D535" s="192" t="str">
        <f>IF(R533=0,"",IF(SUM(G536:G548,K536:K548,O536:O542)=R533,"","The totals included next to each jurisdiction do not add up to "&amp;R533&amp;", please revise the figures."))</f>
        <v/>
      </c>
      <c r="E535" s="192"/>
      <c r="F535" s="192"/>
      <c r="G535" s="192"/>
      <c r="H535" s="192"/>
      <c r="I535" s="192"/>
      <c r="J535" s="192"/>
      <c r="K535" s="192"/>
      <c r="L535" s="192"/>
      <c r="M535" s="192"/>
      <c r="N535" s="192"/>
      <c r="O535" s="192"/>
      <c r="P535" s="88"/>
      <c r="R535" s="89"/>
      <c r="T535" s="11" t="str">
        <f>IF(D535="","G","R")</f>
        <v>G</v>
      </c>
    </row>
    <row r="536" spans="2:20" ht="25.5" x14ac:dyDescent="0.25">
      <c r="B536" s="90"/>
      <c r="C536" s="102" t="str">
        <f>$B$533&amp;"-"&amp;D536</f>
        <v>FI-JR-58-F-AF</v>
      </c>
      <c r="D536" s="91" t="s">
        <v>1093</v>
      </c>
      <c r="E536" s="103" t="s">
        <v>317</v>
      </c>
      <c r="F536" s="93"/>
      <c r="G536" s="116">
        <v>0</v>
      </c>
      <c r="H536" s="105" t="str">
        <f>$B$533&amp;"-"&amp;I536</f>
        <v>FI-JR-58-F-LA</v>
      </c>
      <c r="I536" s="91" t="s">
        <v>1317</v>
      </c>
      <c r="J536" s="92" t="s">
        <v>1312</v>
      </c>
      <c r="K536" s="116">
        <v>0</v>
      </c>
      <c r="L536" s="105" t="str">
        <f>$B$533&amp;"-"&amp;M536</f>
        <v>FI-JR-58-F-TZ</v>
      </c>
      <c r="M536" s="91" t="s">
        <v>1110</v>
      </c>
      <c r="N536" s="92" t="s">
        <v>526</v>
      </c>
      <c r="O536" s="99">
        <v>0</v>
      </c>
      <c r="P536" s="95"/>
      <c r="R536" s="89"/>
      <c r="T536" s="11" t="str">
        <f>IF(OR(AND(OR(ISBLANK(G536),ISBLANK(K536),ISBLANK(O536)),$R$533&gt;0),AND($R$533&lt;=0,OR(OR(G536&lt;&gt;0,K536&lt;&gt;0,O536&lt;&gt;0)))),"R","G")</f>
        <v>G</v>
      </c>
    </row>
    <row r="537" spans="2:20" x14ac:dyDescent="0.25">
      <c r="B537" s="90"/>
      <c r="C537" s="102" t="str">
        <f t="shared" ref="C537:C548" si="106">$B$533&amp;"-"&amp;D537</f>
        <v>FI-JR-58-F-DZ</v>
      </c>
      <c r="D537" s="91" t="s">
        <v>1094</v>
      </c>
      <c r="E537" s="103" t="s">
        <v>319</v>
      </c>
      <c r="F537" s="93"/>
      <c r="G537" s="116">
        <v>0</v>
      </c>
      <c r="H537" s="105" t="str">
        <f t="shared" ref="H537:H548" si="107">$B$533&amp;"-"&amp;I537</f>
        <v>FI-JR-58-F-LB</v>
      </c>
      <c r="I537" s="91" t="s">
        <v>1102</v>
      </c>
      <c r="J537" s="92" t="s">
        <v>434</v>
      </c>
      <c r="K537" s="116">
        <v>0</v>
      </c>
      <c r="L537" s="105" t="str">
        <f t="shared" ref="L537:L542" si="108">$B$533&amp;"-"&amp;M537</f>
        <v>FI-JR-58-F-TT</v>
      </c>
      <c r="M537" s="91" t="s">
        <v>1111</v>
      </c>
      <c r="N537" s="92" t="s">
        <v>532</v>
      </c>
      <c r="O537" s="99">
        <v>0</v>
      </c>
      <c r="P537" s="95"/>
      <c r="R537" s="89"/>
      <c r="T537" s="11" t="str">
        <f t="shared" ref="T537:T542" si="109">IF(OR(AND(OR(ISBLANK(G537),ISBLANK(K537),ISBLANK(O537)),$R$533&gt;0),AND($R$533&lt;=0,OR(OR(G537&lt;&gt;0,K537&lt;&gt;0,O537&lt;&gt;0)))),"R","G")</f>
        <v>G</v>
      </c>
    </row>
    <row r="538" spans="2:20" x14ac:dyDescent="0.25">
      <c r="B538" s="90"/>
      <c r="C538" s="102" t="str">
        <f t="shared" si="106"/>
        <v>FI-JR-58-F-AO</v>
      </c>
      <c r="D538" s="91" t="s">
        <v>1095</v>
      </c>
      <c r="E538" s="103" t="s">
        <v>322</v>
      </c>
      <c r="F538" s="93"/>
      <c r="G538" s="116">
        <v>0</v>
      </c>
      <c r="H538" s="105" t="str">
        <f t="shared" si="107"/>
        <v>FI-JR-58-F-ML</v>
      </c>
      <c r="I538" s="91" t="s">
        <v>1103</v>
      </c>
      <c r="J538" s="92" t="s">
        <v>447</v>
      </c>
      <c r="K538" s="116">
        <v>0</v>
      </c>
      <c r="L538" s="105" t="str">
        <f t="shared" si="108"/>
        <v>FI-JR-58-F-VU</v>
      </c>
      <c r="M538" s="91" t="s">
        <v>1112</v>
      </c>
      <c r="N538" s="92" t="s">
        <v>546</v>
      </c>
      <c r="O538" s="99">
        <v>0</v>
      </c>
      <c r="P538" s="95"/>
      <c r="R538" s="89"/>
      <c r="T538" s="11" t="str">
        <f t="shared" si="109"/>
        <v>G</v>
      </c>
    </row>
    <row r="539" spans="2:20" x14ac:dyDescent="0.25">
      <c r="B539" s="90"/>
      <c r="C539" s="102" t="str">
        <f t="shared" si="106"/>
        <v>FI-JR-58-F-BO</v>
      </c>
      <c r="D539" s="91" t="s">
        <v>1316</v>
      </c>
      <c r="E539" s="103" t="s">
        <v>342</v>
      </c>
      <c r="F539" s="93"/>
      <c r="G539" s="116">
        <v>0</v>
      </c>
      <c r="H539" s="105" t="str">
        <f t="shared" si="107"/>
        <v>FI-JR-58-F-MN</v>
      </c>
      <c r="I539" s="91" t="s">
        <v>1315</v>
      </c>
      <c r="J539" s="92" t="s">
        <v>457</v>
      </c>
      <c r="K539" s="116">
        <v>0</v>
      </c>
      <c r="L539" s="105" t="str">
        <f t="shared" si="108"/>
        <v>FI-JR-58-F-VE</v>
      </c>
      <c r="M539" s="91" t="s">
        <v>1113</v>
      </c>
      <c r="N539" s="92" t="s">
        <v>547</v>
      </c>
      <c r="O539" s="99">
        <v>0</v>
      </c>
      <c r="P539" s="95"/>
      <c r="R539" s="89"/>
      <c r="T539" s="11" t="str">
        <f t="shared" si="109"/>
        <v>G</v>
      </c>
    </row>
    <row r="540" spans="2:20" x14ac:dyDescent="0.25">
      <c r="B540" s="90"/>
      <c r="C540" s="102" t="str">
        <f t="shared" si="106"/>
        <v>FI-JR-58-F-BG</v>
      </c>
      <c r="D540" s="91" t="s">
        <v>1096</v>
      </c>
      <c r="E540" s="103" t="s">
        <v>349</v>
      </c>
      <c r="F540" s="93"/>
      <c r="G540" s="116">
        <v>0</v>
      </c>
      <c r="H540" s="105" t="str">
        <f t="shared" si="107"/>
        <v>FI-JR-58-F-MZ</v>
      </c>
      <c r="I540" s="91" t="s">
        <v>1104</v>
      </c>
      <c r="J540" s="92" t="s">
        <v>461</v>
      </c>
      <c r="K540" s="116">
        <v>0</v>
      </c>
      <c r="L540" s="105" t="str">
        <f t="shared" si="108"/>
        <v>FI-JR-58-F-VN</v>
      </c>
      <c r="M540" s="91" t="s">
        <v>1114</v>
      </c>
      <c r="N540" s="92" t="s">
        <v>1313</v>
      </c>
      <c r="O540" s="99">
        <v>0</v>
      </c>
      <c r="P540" s="95"/>
      <c r="R540" s="89"/>
      <c r="T540" s="11" t="str">
        <f t="shared" si="109"/>
        <v>G</v>
      </c>
    </row>
    <row r="541" spans="2:20" x14ac:dyDescent="0.25">
      <c r="B541" s="90"/>
      <c r="C541" s="102" t="str">
        <f t="shared" si="106"/>
        <v>FI-JR-58-F-BF</v>
      </c>
      <c r="D541" s="91" t="s">
        <v>1097</v>
      </c>
      <c r="E541" s="103" t="s">
        <v>350</v>
      </c>
      <c r="F541" s="93"/>
      <c r="G541" s="116">
        <v>0</v>
      </c>
      <c r="H541" s="105" t="str">
        <f t="shared" si="107"/>
        <v>FI-JR-58-F-MM</v>
      </c>
      <c r="I541" s="91" t="s">
        <v>1105</v>
      </c>
      <c r="J541" s="92" t="s">
        <v>462</v>
      </c>
      <c r="K541" s="116">
        <v>0</v>
      </c>
      <c r="L541" s="105" t="str">
        <f t="shared" si="108"/>
        <v>FI-JR-58-F-VI</v>
      </c>
      <c r="M541" s="91" t="s">
        <v>1319</v>
      </c>
      <c r="N541" s="92" t="s">
        <v>1314</v>
      </c>
      <c r="O541" s="99">
        <v>0</v>
      </c>
      <c r="P541" s="95"/>
      <c r="R541" s="89"/>
      <c r="T541" s="11" t="str">
        <f t="shared" si="109"/>
        <v>G</v>
      </c>
    </row>
    <row r="542" spans="2:20" x14ac:dyDescent="0.25">
      <c r="B542" s="90"/>
      <c r="C542" s="102" t="str">
        <f t="shared" si="106"/>
        <v>FI-JR-58-F-CM</v>
      </c>
      <c r="D542" s="91" t="s">
        <v>1098</v>
      </c>
      <c r="E542" s="103" t="s">
        <v>353</v>
      </c>
      <c r="F542" s="93"/>
      <c r="G542" s="116">
        <v>0</v>
      </c>
      <c r="H542" s="105" t="str">
        <f t="shared" si="107"/>
        <v>FI-JR-58-F-NA</v>
      </c>
      <c r="I542" s="91" t="s">
        <v>1106</v>
      </c>
      <c r="J542" s="92" t="s">
        <v>463</v>
      </c>
      <c r="K542" s="116">
        <v>0</v>
      </c>
      <c r="L542" s="105" t="str">
        <f t="shared" si="108"/>
        <v>FI-JR-58-F-YE</v>
      </c>
      <c r="M542" s="91" t="s">
        <v>1115</v>
      </c>
      <c r="N542" s="92" t="s">
        <v>553</v>
      </c>
      <c r="O542" s="99">
        <v>0</v>
      </c>
      <c r="P542" s="95"/>
      <c r="R542" s="89"/>
      <c r="T542" s="11" t="str">
        <f t="shared" si="109"/>
        <v>G</v>
      </c>
    </row>
    <row r="543" spans="2:20" ht="38.25" x14ac:dyDescent="0.25">
      <c r="B543" s="90"/>
      <c r="C543" s="102" t="str">
        <f t="shared" si="106"/>
        <v>FI-JR-58-F-CD</v>
      </c>
      <c r="D543" s="91" t="s">
        <v>1099</v>
      </c>
      <c r="E543" s="103" t="s">
        <v>366</v>
      </c>
      <c r="F543" s="93"/>
      <c r="G543" s="116">
        <v>0</v>
      </c>
      <c r="H543" s="105" t="str">
        <f t="shared" si="107"/>
        <v>FI-JR-58-F-NP</v>
      </c>
      <c r="I543" s="91" t="s">
        <v>1318</v>
      </c>
      <c r="J543" s="92" t="s">
        <v>465</v>
      </c>
      <c r="K543" s="116">
        <v>0</v>
      </c>
      <c r="L543" s="95"/>
      <c r="M543" s="95"/>
      <c r="N543" s="95"/>
      <c r="O543" s="95"/>
      <c r="P543" s="95"/>
      <c r="R543" s="89"/>
      <c r="T543" s="11" t="str">
        <f t="shared" ref="T543:T548" si="110">IF(OR(AND(OR(ISBLANK(G543),ISBLANK(K543)),$R$533&gt;0),AND($R$533&lt;=0,OR(OR(G543&lt;&gt;0,K543&lt;&gt;0)))),"R","G")</f>
        <v>G</v>
      </c>
    </row>
    <row r="544" spans="2:20" x14ac:dyDescent="0.25">
      <c r="B544" s="90"/>
      <c r="C544" s="102" t="str">
        <f t="shared" si="106"/>
        <v>FI-JR-58-F-CI</v>
      </c>
      <c r="D544" s="91" t="s">
        <v>1091</v>
      </c>
      <c r="E544" s="103" t="s">
        <v>369</v>
      </c>
      <c r="F544" s="93"/>
      <c r="G544" s="116">
        <v>0</v>
      </c>
      <c r="H544" s="105" t="str">
        <f t="shared" si="107"/>
        <v>FI-JR-58-F-NG</v>
      </c>
      <c r="I544" s="91" t="s">
        <v>1107</v>
      </c>
      <c r="J544" s="92" t="s">
        <v>472</v>
      </c>
      <c r="K544" s="116">
        <v>0</v>
      </c>
      <c r="L544" s="95"/>
      <c r="M544" s="95"/>
      <c r="N544" s="95"/>
      <c r="O544" s="95"/>
      <c r="P544" s="95"/>
      <c r="R544" s="89"/>
      <c r="T544" s="11" t="str">
        <f t="shared" si="110"/>
        <v>G</v>
      </c>
    </row>
    <row r="545" spans="2:20" x14ac:dyDescent="0.25">
      <c r="B545" s="90"/>
      <c r="C545" s="102" t="str">
        <f t="shared" si="106"/>
        <v>FI-JR-58-F-HT</v>
      </c>
      <c r="D545" s="91" t="s">
        <v>1100</v>
      </c>
      <c r="E545" s="103" t="s">
        <v>408</v>
      </c>
      <c r="F545" s="93"/>
      <c r="G545" s="116">
        <v>0</v>
      </c>
      <c r="H545" s="105" t="str">
        <f t="shared" si="107"/>
        <v>FI-JR-58-F-RU</v>
      </c>
      <c r="I545" s="91" t="s">
        <v>1321</v>
      </c>
      <c r="J545" s="92" t="s">
        <v>1320</v>
      </c>
      <c r="K545" s="116">
        <v>0</v>
      </c>
      <c r="L545" s="95"/>
      <c r="M545" s="95"/>
      <c r="N545" s="95"/>
      <c r="O545" s="95"/>
      <c r="P545" s="95"/>
      <c r="R545" s="89"/>
      <c r="T545" s="11" t="str">
        <f t="shared" si="110"/>
        <v>G</v>
      </c>
    </row>
    <row r="546" spans="2:20" ht="25.5" x14ac:dyDescent="0.25">
      <c r="B546" s="90"/>
      <c r="C546" s="102" t="str">
        <f t="shared" si="106"/>
        <v>FI-JR-58-F-IR</v>
      </c>
      <c r="D546" s="91" t="s">
        <v>912</v>
      </c>
      <c r="E546" s="103" t="s">
        <v>417</v>
      </c>
      <c r="F546" s="93"/>
      <c r="G546" s="116">
        <v>0</v>
      </c>
      <c r="H546" s="105" t="str">
        <f t="shared" si="107"/>
        <v>FI-JR-58-F-ZA</v>
      </c>
      <c r="I546" s="91" t="s">
        <v>1108</v>
      </c>
      <c r="J546" s="92" t="s">
        <v>513</v>
      </c>
      <c r="K546" s="116">
        <v>0</v>
      </c>
      <c r="L546" s="95"/>
      <c r="M546" s="95"/>
      <c r="N546" s="95"/>
      <c r="O546" s="95"/>
      <c r="P546" s="95"/>
      <c r="R546" s="89"/>
      <c r="T546" s="11" t="str">
        <f t="shared" si="110"/>
        <v>G</v>
      </c>
    </row>
    <row r="547" spans="2:20" x14ac:dyDescent="0.25">
      <c r="B547" s="90"/>
      <c r="C547" s="102" t="str">
        <f t="shared" si="106"/>
        <v>FI-JR-58-F-KE</v>
      </c>
      <c r="D547" s="91" t="s">
        <v>1101</v>
      </c>
      <c r="E547" s="103" t="s">
        <v>426</v>
      </c>
      <c r="F547" s="93"/>
      <c r="G547" s="116">
        <v>0</v>
      </c>
      <c r="H547" s="105" t="str">
        <f t="shared" si="107"/>
        <v>FI-JR-58-F-SS</v>
      </c>
      <c r="I547" s="91" t="s">
        <v>1089</v>
      </c>
      <c r="J547" s="92" t="s">
        <v>1088</v>
      </c>
      <c r="K547" s="99">
        <v>0</v>
      </c>
      <c r="L547" s="94"/>
      <c r="M547" s="95"/>
      <c r="N547" s="95"/>
      <c r="O547" s="95"/>
      <c r="P547" s="95"/>
      <c r="R547" s="89"/>
      <c r="T547" s="11" t="str">
        <f t="shared" si="110"/>
        <v>G</v>
      </c>
    </row>
    <row r="548" spans="2:20" ht="25.5" x14ac:dyDescent="0.25">
      <c r="B548" s="90"/>
      <c r="C548" s="102" t="str">
        <f t="shared" si="106"/>
        <v>FI-JR-58-F-KP</v>
      </c>
      <c r="D548" s="91" t="s">
        <v>1090</v>
      </c>
      <c r="E548" s="103" t="s">
        <v>428</v>
      </c>
      <c r="F548" s="96"/>
      <c r="G548" s="116">
        <v>0</v>
      </c>
      <c r="H548" s="105" t="str">
        <f t="shared" si="107"/>
        <v>FI-JR-58-F-SY</v>
      </c>
      <c r="I548" s="91" t="s">
        <v>1109</v>
      </c>
      <c r="J548" s="92" t="s">
        <v>523</v>
      </c>
      <c r="K548" s="99">
        <v>0</v>
      </c>
      <c r="L548" s="94"/>
      <c r="M548" s="95"/>
      <c r="N548" s="95"/>
      <c r="O548" s="95"/>
      <c r="P548" s="95"/>
      <c r="R548" s="89"/>
      <c r="T548" s="11" t="str">
        <f t="shared" si="110"/>
        <v>G</v>
      </c>
    </row>
    <row r="549" spans="2:20" x14ac:dyDescent="0.25">
      <c r="E549" s="52"/>
      <c r="F549" s="52"/>
      <c r="G549" s="52"/>
      <c r="H549" s="52"/>
      <c r="I549" s="52"/>
      <c r="J549" s="52"/>
      <c r="K549" s="52"/>
      <c r="L549" s="52"/>
      <c r="M549" s="52"/>
      <c r="N549" s="52"/>
      <c r="O549" s="52"/>
      <c r="P549" s="52"/>
    </row>
    <row r="550" spans="2:20" ht="37.5" customHeight="1" x14ac:dyDescent="0.25">
      <c r="B550" s="15" t="s">
        <v>764</v>
      </c>
      <c r="D550" s="186" t="s">
        <v>885</v>
      </c>
      <c r="E550" s="186"/>
      <c r="F550" s="186"/>
      <c r="G550" s="186"/>
      <c r="H550" s="186"/>
      <c r="I550" s="186"/>
      <c r="J550" s="186"/>
      <c r="K550" s="186"/>
      <c r="L550" s="186"/>
      <c r="M550" s="186"/>
      <c r="N550" s="186"/>
      <c r="O550" s="186"/>
      <c r="P550" s="52"/>
      <c r="R550" s="10"/>
    </row>
    <row r="551" spans="2:20" ht="52.5" customHeight="1" x14ac:dyDescent="0.25">
      <c r="D551" s="190" t="s">
        <v>1349</v>
      </c>
      <c r="E551" s="190"/>
      <c r="F551" s="190"/>
      <c r="G551" s="190"/>
      <c r="H551" s="190"/>
      <c r="I551" s="190"/>
      <c r="J551" s="190"/>
      <c r="K551" s="190"/>
      <c r="L551" s="190"/>
      <c r="M551" s="190"/>
      <c r="N551" s="190"/>
      <c r="O551" s="190"/>
      <c r="P551" s="190"/>
      <c r="R551" s="101"/>
    </row>
    <row r="552" spans="2:20" ht="15" customHeight="1" x14ac:dyDescent="0.25">
      <c r="B552" s="46" t="str">
        <f>B550&amp;"-M"</f>
        <v>FI-JR-60-M</v>
      </c>
      <c r="C552" s="46"/>
      <c r="D552" s="84"/>
      <c r="E552" s="189" t="s">
        <v>448</v>
      </c>
      <c r="F552" s="189"/>
      <c r="G552" s="189"/>
      <c r="H552" s="189"/>
      <c r="I552" s="189"/>
      <c r="J552" s="189"/>
      <c r="K552" s="189"/>
      <c r="L552" s="189"/>
      <c r="M552" s="189"/>
      <c r="N552" s="189"/>
      <c r="O552" s="189"/>
      <c r="P552" s="111" t="s">
        <v>985</v>
      </c>
      <c r="R552" s="17"/>
      <c r="T552" s="11" t="str">
        <f>IF(OR(AND(ISBLANK(R552),PR.28&gt;0),AND(PR.28&lt;=0,NOT(ISBLANK(R552)))),"R","G")</f>
        <v>G</v>
      </c>
    </row>
    <row r="553" spans="2:20" ht="15" customHeight="1" x14ac:dyDescent="0.25">
      <c r="B553" s="46" t="str">
        <f>B550&amp;"-E"</f>
        <v>FI-JR-60-E</v>
      </c>
      <c r="C553" s="46"/>
      <c r="D553" s="84"/>
      <c r="E553" s="189" t="s">
        <v>1084</v>
      </c>
      <c r="F553" s="189"/>
      <c r="G553" s="189"/>
      <c r="H553" s="189"/>
      <c r="I553" s="189"/>
      <c r="J553" s="189"/>
      <c r="K553" s="189"/>
      <c r="L553" s="189"/>
      <c r="M553" s="189"/>
      <c r="N553" s="189"/>
      <c r="O553" s="189"/>
      <c r="P553" s="111" t="s">
        <v>985</v>
      </c>
      <c r="R553" s="17"/>
      <c r="T553" s="11" t="str">
        <f>IF(OR(AND(ISBLANK(R553),PR.28&gt;0),AND(PR.28&lt;=0,NOT(ISBLANK(R553)))),"R","G")</f>
        <v>G</v>
      </c>
    </row>
    <row r="554" spans="2:20" ht="15" customHeight="1" x14ac:dyDescent="0.25">
      <c r="B554" s="46" t="str">
        <f>B550&amp;"-N"</f>
        <v>FI-JR-60-N</v>
      </c>
      <c r="C554" s="46"/>
      <c r="D554" s="84"/>
      <c r="E554" s="189" t="s">
        <v>1085</v>
      </c>
      <c r="F554" s="189"/>
      <c r="G554" s="189"/>
      <c r="H554" s="189"/>
      <c r="I554" s="189"/>
      <c r="J554" s="189"/>
      <c r="K554" s="189"/>
      <c r="L554" s="189"/>
      <c r="M554" s="189"/>
      <c r="N554" s="189"/>
      <c r="O554" s="189"/>
      <c r="P554" s="111" t="s">
        <v>985</v>
      </c>
      <c r="R554" s="17"/>
      <c r="T554" s="11" t="str">
        <f>IF(OR(AND(ISBLANK(R554),PR.28&gt;0),AND(PR.28&lt;=0,NOT(ISBLANK(R554)))),"R","G")</f>
        <v>G</v>
      </c>
    </row>
    <row r="555" spans="2:20" ht="27" customHeight="1" x14ac:dyDescent="0.25">
      <c r="B555" s="46" t="str">
        <f>B550&amp;"-F"</f>
        <v>FI-JR-60-F</v>
      </c>
      <c r="C555" s="46"/>
      <c r="D555" s="84"/>
      <c r="E555" s="191" t="s">
        <v>1086</v>
      </c>
      <c r="F555" s="191"/>
      <c r="G555" s="191"/>
      <c r="H555" s="191"/>
      <c r="I555" s="191"/>
      <c r="J555" s="191"/>
      <c r="K555" s="191"/>
      <c r="L555" s="191"/>
      <c r="M555" s="191"/>
      <c r="N555" s="191"/>
      <c r="O555" s="191"/>
      <c r="P555" s="111" t="s">
        <v>985</v>
      </c>
      <c r="R555" s="17"/>
      <c r="T555" s="11" t="str">
        <f>IF(OR(AND(ISBLANK(R555),PR.28&gt;0),AND(PR.28&lt;=0,NOT(ISBLANK(R555)))),"R","G")</f>
        <v>G</v>
      </c>
    </row>
    <row r="556" spans="2:20" ht="9.75" customHeight="1" x14ac:dyDescent="0.25">
      <c r="B556" s="10"/>
      <c r="C556" s="10"/>
      <c r="D556" s="10"/>
      <c r="E556" s="10"/>
      <c r="F556" s="10"/>
      <c r="G556" s="10"/>
      <c r="H556" s="10"/>
      <c r="I556" s="10"/>
      <c r="J556" s="10"/>
      <c r="K556" s="10"/>
      <c r="L556" s="10"/>
      <c r="M556" s="10"/>
      <c r="N556" s="10"/>
      <c r="O556" s="10"/>
      <c r="P556" s="10"/>
      <c r="R556" s="10"/>
    </row>
    <row r="557" spans="2:20" ht="15" customHeight="1" x14ac:dyDescent="0.25">
      <c r="B557" s="87"/>
      <c r="C557" s="87"/>
      <c r="D557" s="192" t="str">
        <f>IF(R555=0,"",IF(SUM(G558:G570,K558:K570,O558:O564)=R555,"","The totals included next to each jurisdiction do not add up to "&amp;R555&amp;", please revise the figures."))</f>
        <v/>
      </c>
      <c r="E557" s="192"/>
      <c r="F557" s="192"/>
      <c r="G557" s="192"/>
      <c r="H557" s="192"/>
      <c r="I557" s="192"/>
      <c r="J557" s="192"/>
      <c r="K557" s="192"/>
      <c r="L557" s="192"/>
      <c r="M557" s="192"/>
      <c r="N557" s="192"/>
      <c r="O557" s="192"/>
      <c r="P557" s="88"/>
      <c r="R557" s="89"/>
      <c r="T557" s="11" t="str">
        <f>IF(D557="","G","R")</f>
        <v>G</v>
      </c>
    </row>
    <row r="558" spans="2:20" ht="25.5" x14ac:dyDescent="0.25">
      <c r="B558" s="90"/>
      <c r="C558" s="102" t="str">
        <f>$B$555&amp;"-"&amp;D558</f>
        <v>FI-JR-60-F-AF</v>
      </c>
      <c r="D558" s="91" t="s">
        <v>1093</v>
      </c>
      <c r="E558" s="103" t="s">
        <v>317</v>
      </c>
      <c r="F558" s="93"/>
      <c r="G558" s="118">
        <v>0</v>
      </c>
      <c r="H558" s="105" t="str">
        <f>$B$555&amp;"-"&amp;I558</f>
        <v>FI-JR-60-F-LA</v>
      </c>
      <c r="I558" s="91" t="s">
        <v>1317</v>
      </c>
      <c r="J558" s="92" t="s">
        <v>1312</v>
      </c>
      <c r="K558" s="118">
        <v>0</v>
      </c>
      <c r="L558" s="105" t="str">
        <f>$B$555&amp;"-"&amp;M558</f>
        <v>FI-JR-60-F-TZ</v>
      </c>
      <c r="M558" s="91" t="s">
        <v>1110</v>
      </c>
      <c r="N558" s="92" t="s">
        <v>526</v>
      </c>
      <c r="O558" s="117">
        <v>0</v>
      </c>
      <c r="P558" s="95"/>
      <c r="R558" s="89"/>
      <c r="T558" s="11" t="str">
        <f>IF(OR(AND(OR(ISBLANK(G558),ISBLANK(K558),ISBLANK(O558)),$R$555&gt;0),AND($R$555&lt;=0,OR(OR(G558&lt;&gt;0,K558&lt;&gt;0,O558&lt;&gt;0)))),"R","G")</f>
        <v>G</v>
      </c>
    </row>
    <row r="559" spans="2:20" x14ac:dyDescent="0.25">
      <c r="B559" s="90"/>
      <c r="C559" s="102" t="str">
        <f t="shared" ref="C559:C570" si="111">$B$555&amp;"-"&amp;D559</f>
        <v>FI-JR-60-F-DZ</v>
      </c>
      <c r="D559" s="91" t="s">
        <v>1094</v>
      </c>
      <c r="E559" s="103" t="s">
        <v>319</v>
      </c>
      <c r="F559" s="93"/>
      <c r="G559" s="118">
        <v>0</v>
      </c>
      <c r="H559" s="105" t="str">
        <f t="shared" ref="H559:H570" si="112">$B$555&amp;"-"&amp;I559</f>
        <v>FI-JR-60-F-LB</v>
      </c>
      <c r="I559" s="91" t="s">
        <v>1102</v>
      </c>
      <c r="J559" s="92" t="s">
        <v>434</v>
      </c>
      <c r="K559" s="118">
        <v>0</v>
      </c>
      <c r="L559" s="105" t="str">
        <f t="shared" ref="L559:L564" si="113">$B$555&amp;"-"&amp;M559</f>
        <v>FI-JR-60-F-TT</v>
      </c>
      <c r="M559" s="91" t="s">
        <v>1111</v>
      </c>
      <c r="N559" s="92" t="s">
        <v>532</v>
      </c>
      <c r="O559" s="117">
        <v>0</v>
      </c>
      <c r="P559" s="95"/>
      <c r="R559" s="89"/>
      <c r="T559" s="11" t="str">
        <f t="shared" ref="T559:T564" si="114">IF(OR(AND(OR(ISBLANK(G559),ISBLANK(K559),ISBLANK(O559)),$R$555&gt;0),AND($R$555&lt;=0,OR(OR(G559&lt;&gt;0,K559&lt;&gt;0,O559&lt;&gt;0)))),"R","G")</f>
        <v>G</v>
      </c>
    </row>
    <row r="560" spans="2:20" x14ac:dyDescent="0.25">
      <c r="B560" s="90"/>
      <c r="C560" s="102" t="str">
        <f t="shared" si="111"/>
        <v>FI-JR-60-F-AO</v>
      </c>
      <c r="D560" s="91" t="s">
        <v>1095</v>
      </c>
      <c r="E560" s="103" t="s">
        <v>322</v>
      </c>
      <c r="F560" s="93"/>
      <c r="G560" s="118">
        <v>0</v>
      </c>
      <c r="H560" s="105" t="str">
        <f t="shared" si="112"/>
        <v>FI-JR-60-F-ML</v>
      </c>
      <c r="I560" s="91" t="s">
        <v>1103</v>
      </c>
      <c r="J560" s="92" t="s">
        <v>447</v>
      </c>
      <c r="K560" s="118">
        <v>0</v>
      </c>
      <c r="L560" s="105" t="str">
        <f t="shared" si="113"/>
        <v>FI-JR-60-F-VU</v>
      </c>
      <c r="M560" s="91" t="s">
        <v>1112</v>
      </c>
      <c r="N560" s="92" t="s">
        <v>546</v>
      </c>
      <c r="O560" s="117">
        <v>0</v>
      </c>
      <c r="P560" s="95"/>
      <c r="R560" s="89"/>
      <c r="T560" s="11" t="str">
        <f t="shared" si="114"/>
        <v>G</v>
      </c>
    </row>
    <row r="561" spans="2:20" x14ac:dyDescent="0.25">
      <c r="B561" s="90"/>
      <c r="C561" s="102" t="str">
        <f t="shared" si="111"/>
        <v>FI-JR-60-F-BO</v>
      </c>
      <c r="D561" s="91" t="s">
        <v>1316</v>
      </c>
      <c r="E561" s="103" t="s">
        <v>342</v>
      </c>
      <c r="F561" s="93"/>
      <c r="G561" s="118">
        <v>0</v>
      </c>
      <c r="H561" s="105" t="str">
        <f t="shared" si="112"/>
        <v>FI-JR-60-F-MN</v>
      </c>
      <c r="I561" s="91" t="s">
        <v>1315</v>
      </c>
      <c r="J561" s="92" t="s">
        <v>457</v>
      </c>
      <c r="K561" s="118">
        <v>0</v>
      </c>
      <c r="L561" s="105" t="str">
        <f t="shared" si="113"/>
        <v>FI-JR-60-F-VE</v>
      </c>
      <c r="M561" s="91" t="s">
        <v>1113</v>
      </c>
      <c r="N561" s="92" t="s">
        <v>547</v>
      </c>
      <c r="O561" s="117">
        <v>0</v>
      </c>
      <c r="P561" s="95"/>
      <c r="R561" s="89"/>
      <c r="T561" s="11" t="str">
        <f t="shared" si="114"/>
        <v>G</v>
      </c>
    </row>
    <row r="562" spans="2:20" x14ac:dyDescent="0.25">
      <c r="B562" s="90"/>
      <c r="C562" s="102" t="str">
        <f t="shared" si="111"/>
        <v>FI-JR-60-F-BG</v>
      </c>
      <c r="D562" s="91" t="s">
        <v>1096</v>
      </c>
      <c r="E562" s="103" t="s">
        <v>349</v>
      </c>
      <c r="F562" s="93"/>
      <c r="G562" s="118">
        <v>0</v>
      </c>
      <c r="H562" s="105" t="str">
        <f t="shared" si="112"/>
        <v>FI-JR-60-F-MZ</v>
      </c>
      <c r="I562" s="91" t="s">
        <v>1104</v>
      </c>
      <c r="J562" s="92" t="s">
        <v>461</v>
      </c>
      <c r="K562" s="118">
        <v>0</v>
      </c>
      <c r="L562" s="105" t="str">
        <f t="shared" si="113"/>
        <v>FI-JR-60-F-VN</v>
      </c>
      <c r="M562" s="91" t="s">
        <v>1114</v>
      </c>
      <c r="N562" s="92" t="s">
        <v>1313</v>
      </c>
      <c r="O562" s="117">
        <v>0</v>
      </c>
      <c r="P562" s="95"/>
      <c r="R562" s="89"/>
      <c r="T562" s="11" t="str">
        <f t="shared" si="114"/>
        <v>G</v>
      </c>
    </row>
    <row r="563" spans="2:20" x14ac:dyDescent="0.25">
      <c r="B563" s="90"/>
      <c r="C563" s="102" t="str">
        <f t="shared" si="111"/>
        <v>FI-JR-60-F-BF</v>
      </c>
      <c r="D563" s="91" t="s">
        <v>1097</v>
      </c>
      <c r="E563" s="103" t="s">
        <v>350</v>
      </c>
      <c r="F563" s="93"/>
      <c r="G563" s="118">
        <v>0</v>
      </c>
      <c r="H563" s="105" t="str">
        <f t="shared" si="112"/>
        <v>FI-JR-60-F-MM</v>
      </c>
      <c r="I563" s="91" t="s">
        <v>1105</v>
      </c>
      <c r="J563" s="92" t="s">
        <v>462</v>
      </c>
      <c r="K563" s="118">
        <v>0</v>
      </c>
      <c r="L563" s="105" t="str">
        <f t="shared" si="113"/>
        <v>FI-JR-60-F-VI</v>
      </c>
      <c r="M563" s="91" t="s">
        <v>1319</v>
      </c>
      <c r="N563" s="92" t="s">
        <v>1314</v>
      </c>
      <c r="O563" s="117">
        <v>0</v>
      </c>
      <c r="P563" s="95"/>
      <c r="R563" s="89"/>
      <c r="T563" s="11" t="str">
        <f t="shared" si="114"/>
        <v>G</v>
      </c>
    </row>
    <row r="564" spans="2:20" x14ac:dyDescent="0.25">
      <c r="B564" s="90"/>
      <c r="C564" s="102" t="str">
        <f t="shared" si="111"/>
        <v>FI-JR-60-F-CM</v>
      </c>
      <c r="D564" s="91" t="s">
        <v>1098</v>
      </c>
      <c r="E564" s="103" t="s">
        <v>353</v>
      </c>
      <c r="F564" s="93"/>
      <c r="G564" s="118">
        <v>0</v>
      </c>
      <c r="H564" s="105" t="str">
        <f t="shared" si="112"/>
        <v>FI-JR-60-F-NA</v>
      </c>
      <c r="I564" s="91" t="s">
        <v>1106</v>
      </c>
      <c r="J564" s="92" t="s">
        <v>463</v>
      </c>
      <c r="K564" s="118">
        <v>0</v>
      </c>
      <c r="L564" s="105" t="str">
        <f t="shared" si="113"/>
        <v>FI-JR-60-F-YE</v>
      </c>
      <c r="M564" s="91" t="s">
        <v>1115</v>
      </c>
      <c r="N564" s="92" t="s">
        <v>553</v>
      </c>
      <c r="O564" s="117">
        <v>0</v>
      </c>
      <c r="P564" s="95"/>
      <c r="R564" s="89"/>
      <c r="T564" s="11" t="str">
        <f t="shared" si="114"/>
        <v>G</v>
      </c>
    </row>
    <row r="565" spans="2:20" ht="38.25" x14ac:dyDescent="0.25">
      <c r="B565" s="90"/>
      <c r="C565" s="102" t="str">
        <f t="shared" si="111"/>
        <v>FI-JR-60-F-CD</v>
      </c>
      <c r="D565" s="91" t="s">
        <v>1099</v>
      </c>
      <c r="E565" s="103" t="s">
        <v>366</v>
      </c>
      <c r="F565" s="93"/>
      <c r="G565" s="118">
        <v>0</v>
      </c>
      <c r="H565" s="105" t="str">
        <f t="shared" si="112"/>
        <v>FI-JR-60-F-NP</v>
      </c>
      <c r="I565" s="91" t="s">
        <v>1318</v>
      </c>
      <c r="J565" s="92" t="s">
        <v>465</v>
      </c>
      <c r="K565" s="118">
        <v>0</v>
      </c>
      <c r="L565" s="95"/>
      <c r="M565" s="95"/>
      <c r="N565" s="95"/>
      <c r="O565" s="95"/>
      <c r="P565" s="95"/>
      <c r="R565" s="89"/>
      <c r="T565" s="11" t="str">
        <f t="shared" ref="T565:T570" si="115">IF(OR(AND(OR(ISBLANK(G565),ISBLANK(K565)),$R$555&gt;0),AND($R$555&lt;=0,OR(OR(G565&lt;&gt;0,K565&lt;&gt;0)))),"R","G")</f>
        <v>G</v>
      </c>
    </row>
    <row r="566" spans="2:20" x14ac:dyDescent="0.25">
      <c r="B566" s="90"/>
      <c r="C566" s="102" t="str">
        <f t="shared" si="111"/>
        <v>FI-JR-60-F-CI</v>
      </c>
      <c r="D566" s="91" t="s">
        <v>1091</v>
      </c>
      <c r="E566" s="103" t="s">
        <v>369</v>
      </c>
      <c r="F566" s="93"/>
      <c r="G566" s="118">
        <v>0</v>
      </c>
      <c r="H566" s="105" t="str">
        <f t="shared" si="112"/>
        <v>FI-JR-60-F-NG</v>
      </c>
      <c r="I566" s="91" t="s">
        <v>1107</v>
      </c>
      <c r="J566" s="92" t="s">
        <v>472</v>
      </c>
      <c r="K566" s="118">
        <v>0</v>
      </c>
      <c r="L566" s="95"/>
      <c r="M566" s="95"/>
      <c r="N566" s="95"/>
      <c r="O566" s="95"/>
      <c r="P566" s="95"/>
      <c r="R566" s="89"/>
      <c r="T566" s="11" t="str">
        <f t="shared" si="115"/>
        <v>G</v>
      </c>
    </row>
    <row r="567" spans="2:20" x14ac:dyDescent="0.25">
      <c r="B567" s="90"/>
      <c r="C567" s="102" t="str">
        <f t="shared" si="111"/>
        <v>FI-JR-60-F-HT</v>
      </c>
      <c r="D567" s="91" t="s">
        <v>1100</v>
      </c>
      <c r="E567" s="103" t="s">
        <v>408</v>
      </c>
      <c r="F567" s="93"/>
      <c r="G567" s="118">
        <v>0</v>
      </c>
      <c r="H567" s="105" t="str">
        <f t="shared" si="112"/>
        <v>FI-JR-60-F-RU</v>
      </c>
      <c r="I567" s="91" t="s">
        <v>1321</v>
      </c>
      <c r="J567" s="92" t="s">
        <v>1320</v>
      </c>
      <c r="K567" s="118">
        <v>0</v>
      </c>
      <c r="L567" s="95"/>
      <c r="M567" s="95"/>
      <c r="N567" s="95"/>
      <c r="O567" s="95"/>
      <c r="P567" s="95"/>
      <c r="R567" s="89"/>
      <c r="T567" s="11" t="str">
        <f t="shared" si="115"/>
        <v>G</v>
      </c>
    </row>
    <row r="568" spans="2:20" ht="25.5" x14ac:dyDescent="0.25">
      <c r="B568" s="90"/>
      <c r="C568" s="102" t="str">
        <f t="shared" si="111"/>
        <v>FI-JR-60-F-IR</v>
      </c>
      <c r="D568" s="91" t="s">
        <v>912</v>
      </c>
      <c r="E568" s="103" t="s">
        <v>417</v>
      </c>
      <c r="F568" s="93"/>
      <c r="G568" s="118">
        <v>0</v>
      </c>
      <c r="H568" s="105" t="str">
        <f t="shared" si="112"/>
        <v>FI-JR-60-F-ZA</v>
      </c>
      <c r="I568" s="91" t="s">
        <v>1108</v>
      </c>
      <c r="J568" s="92" t="s">
        <v>513</v>
      </c>
      <c r="K568" s="118">
        <v>0</v>
      </c>
      <c r="L568" s="95"/>
      <c r="M568" s="95"/>
      <c r="N568" s="95"/>
      <c r="O568" s="95"/>
      <c r="P568" s="95"/>
      <c r="R568" s="89"/>
      <c r="T568" s="11" t="str">
        <f t="shared" si="115"/>
        <v>G</v>
      </c>
    </row>
    <row r="569" spans="2:20" x14ac:dyDescent="0.25">
      <c r="B569" s="90"/>
      <c r="C569" s="102" t="str">
        <f t="shared" si="111"/>
        <v>FI-JR-60-F-KE</v>
      </c>
      <c r="D569" s="91" t="s">
        <v>1101</v>
      </c>
      <c r="E569" s="103" t="s">
        <v>426</v>
      </c>
      <c r="F569" s="93"/>
      <c r="G569" s="118">
        <v>0</v>
      </c>
      <c r="H569" s="105" t="str">
        <f t="shared" si="112"/>
        <v>FI-JR-60-F-SS</v>
      </c>
      <c r="I569" s="91" t="s">
        <v>1089</v>
      </c>
      <c r="J569" s="92" t="s">
        <v>1088</v>
      </c>
      <c r="K569" s="117">
        <v>0</v>
      </c>
      <c r="L569" s="94"/>
      <c r="M569" s="95"/>
      <c r="N569" s="95"/>
      <c r="O569" s="95"/>
      <c r="P569" s="95"/>
      <c r="R569" s="89"/>
      <c r="T569" s="11" t="str">
        <f t="shared" si="115"/>
        <v>G</v>
      </c>
    </row>
    <row r="570" spans="2:20" ht="25.5" x14ac:dyDescent="0.25">
      <c r="B570" s="90"/>
      <c r="C570" s="102" t="str">
        <f t="shared" si="111"/>
        <v>FI-JR-60-F-KP</v>
      </c>
      <c r="D570" s="91" t="s">
        <v>1090</v>
      </c>
      <c r="E570" s="103" t="s">
        <v>428</v>
      </c>
      <c r="F570" s="96"/>
      <c r="G570" s="118">
        <v>0</v>
      </c>
      <c r="H570" s="105" t="str">
        <f t="shared" si="112"/>
        <v>FI-JR-60-F-SY</v>
      </c>
      <c r="I570" s="91" t="s">
        <v>1109</v>
      </c>
      <c r="J570" s="92" t="s">
        <v>523</v>
      </c>
      <c r="K570" s="117">
        <v>0</v>
      </c>
      <c r="L570" s="94"/>
      <c r="M570" s="95"/>
      <c r="N570" s="95"/>
      <c r="O570" s="95"/>
      <c r="P570" s="95"/>
      <c r="R570" s="89"/>
      <c r="T570" s="11" t="str">
        <f t="shared" si="115"/>
        <v>G</v>
      </c>
    </row>
    <row r="571" spans="2:20" x14ac:dyDescent="0.25">
      <c r="E571" s="52"/>
      <c r="F571" s="52"/>
      <c r="G571" s="52"/>
      <c r="H571" s="52"/>
      <c r="I571" s="52"/>
      <c r="J571" s="52"/>
      <c r="K571" s="52"/>
      <c r="L571" s="52"/>
      <c r="M571" s="52"/>
      <c r="N571" s="52"/>
      <c r="O571" s="52"/>
      <c r="P571" s="52"/>
    </row>
    <row r="572" spans="2:20" ht="37.5" customHeight="1" x14ac:dyDescent="0.25">
      <c r="B572" s="15" t="s">
        <v>765</v>
      </c>
      <c r="D572" s="186" t="s">
        <v>886</v>
      </c>
      <c r="E572" s="186"/>
      <c r="F572" s="186"/>
      <c r="G572" s="186"/>
      <c r="H572" s="186"/>
      <c r="I572" s="186"/>
      <c r="J572" s="186"/>
      <c r="K572" s="186"/>
      <c r="L572" s="186"/>
      <c r="M572" s="186"/>
      <c r="N572" s="186"/>
      <c r="O572" s="186"/>
      <c r="P572" s="52"/>
      <c r="R572" s="10"/>
    </row>
    <row r="573" spans="2:20" ht="52.5" customHeight="1" x14ac:dyDescent="0.25">
      <c r="D573" s="190" t="s">
        <v>1349</v>
      </c>
      <c r="E573" s="190"/>
      <c r="F573" s="190"/>
      <c r="G573" s="190"/>
      <c r="H573" s="190"/>
      <c r="I573" s="190"/>
      <c r="J573" s="190"/>
      <c r="K573" s="190"/>
      <c r="L573" s="190"/>
      <c r="M573" s="190"/>
      <c r="N573" s="190"/>
      <c r="O573" s="190"/>
      <c r="P573" s="190"/>
      <c r="R573" s="101"/>
    </row>
    <row r="574" spans="2:20" ht="15" customHeight="1" x14ac:dyDescent="0.25">
      <c r="B574" s="46" t="str">
        <f>B572&amp;"-M"</f>
        <v>FI-JR-61-M</v>
      </c>
      <c r="C574" s="46"/>
      <c r="D574" s="84"/>
      <c r="E574" s="189" t="s">
        <v>448</v>
      </c>
      <c r="F574" s="189"/>
      <c r="G574" s="189"/>
      <c r="H574" s="189"/>
      <c r="I574" s="189"/>
      <c r="J574" s="189"/>
      <c r="K574" s="189"/>
      <c r="L574" s="189"/>
      <c r="M574" s="189"/>
      <c r="N574" s="189"/>
      <c r="O574" s="189"/>
      <c r="P574" s="111" t="s">
        <v>985</v>
      </c>
      <c r="R574" s="17"/>
      <c r="T574" s="11" t="str">
        <f>IF(OR(AND(ISBLANK(R574),PR.28&gt;0),AND(PR.28&lt;=0,NOT(ISBLANK(R574)))),"R","G")</f>
        <v>G</v>
      </c>
    </row>
    <row r="575" spans="2:20" ht="15" customHeight="1" x14ac:dyDescent="0.25">
      <c r="B575" s="46" t="str">
        <f>B572&amp;"-E"</f>
        <v>FI-JR-61-E</v>
      </c>
      <c r="C575" s="46"/>
      <c r="D575" s="84"/>
      <c r="E575" s="189" t="s">
        <v>1084</v>
      </c>
      <c r="F575" s="189"/>
      <c r="G575" s="189"/>
      <c r="H575" s="189"/>
      <c r="I575" s="189"/>
      <c r="J575" s="189"/>
      <c r="K575" s="189"/>
      <c r="L575" s="189"/>
      <c r="M575" s="189"/>
      <c r="N575" s="189"/>
      <c r="O575" s="189"/>
      <c r="P575" s="111" t="s">
        <v>985</v>
      </c>
      <c r="R575" s="17"/>
      <c r="T575" s="11" t="str">
        <f>IF(OR(AND(ISBLANK(R575),PR.28&gt;0),AND(PR.28&lt;=0,NOT(ISBLANK(R575)))),"R","G")</f>
        <v>G</v>
      </c>
    </row>
    <row r="576" spans="2:20" ht="15" customHeight="1" x14ac:dyDescent="0.25">
      <c r="B576" s="46" t="str">
        <f>B572&amp;"-N"</f>
        <v>FI-JR-61-N</v>
      </c>
      <c r="C576" s="46"/>
      <c r="D576" s="84"/>
      <c r="E576" s="189" t="s">
        <v>1085</v>
      </c>
      <c r="F576" s="189"/>
      <c r="G576" s="189"/>
      <c r="H576" s="189"/>
      <c r="I576" s="189"/>
      <c r="J576" s="189"/>
      <c r="K576" s="189"/>
      <c r="L576" s="189"/>
      <c r="M576" s="189"/>
      <c r="N576" s="189"/>
      <c r="O576" s="189"/>
      <c r="P576" s="111" t="s">
        <v>985</v>
      </c>
      <c r="R576" s="17"/>
      <c r="T576" s="11" t="str">
        <f>IF(OR(AND(ISBLANK(R576),PR.28&gt;0),AND(PR.28&lt;=0,NOT(ISBLANK(R576)))),"R","G")</f>
        <v>G</v>
      </c>
    </row>
    <row r="577" spans="2:20" ht="27" customHeight="1" x14ac:dyDescent="0.25">
      <c r="B577" s="46" t="str">
        <f>B572&amp;"-F"</f>
        <v>FI-JR-61-F</v>
      </c>
      <c r="C577" s="46"/>
      <c r="D577" s="84"/>
      <c r="E577" s="191" t="s">
        <v>1086</v>
      </c>
      <c r="F577" s="191"/>
      <c r="G577" s="191"/>
      <c r="H577" s="191"/>
      <c r="I577" s="191"/>
      <c r="J577" s="191"/>
      <c r="K577" s="191"/>
      <c r="L577" s="191"/>
      <c r="M577" s="191"/>
      <c r="N577" s="191"/>
      <c r="O577" s="191"/>
      <c r="P577" s="111" t="s">
        <v>985</v>
      </c>
      <c r="R577" s="17"/>
      <c r="T577" s="11" t="str">
        <f>IF(OR(AND(ISBLANK(R577),PR.28&gt;0),AND(PR.28&lt;=0,NOT(ISBLANK(R577)))),"R","G")</f>
        <v>G</v>
      </c>
    </row>
    <row r="578" spans="2:20" ht="9.75" customHeight="1" x14ac:dyDescent="0.25">
      <c r="B578" s="10"/>
      <c r="C578" s="10"/>
      <c r="D578" s="10"/>
      <c r="E578" s="10"/>
      <c r="F578" s="10"/>
      <c r="G578" s="10"/>
      <c r="H578" s="10"/>
      <c r="I578" s="10"/>
      <c r="J578" s="10"/>
      <c r="K578" s="10"/>
      <c r="L578" s="10"/>
      <c r="M578" s="10"/>
      <c r="N578" s="10"/>
      <c r="O578" s="10"/>
      <c r="P578" s="10"/>
      <c r="R578" s="10"/>
    </row>
    <row r="579" spans="2:20" ht="15" customHeight="1" x14ac:dyDescent="0.25">
      <c r="B579" s="87"/>
      <c r="C579" s="87"/>
      <c r="D579" s="192" t="str">
        <f>IF(R577=0,"",IF(SUM(G580:G592,K580:K592,O580:O586)=R577,"","The totals included next to each jurisdiction do not add up to "&amp;R577&amp;", please revise the figures."))</f>
        <v/>
      </c>
      <c r="E579" s="192"/>
      <c r="F579" s="192"/>
      <c r="G579" s="192"/>
      <c r="H579" s="192"/>
      <c r="I579" s="192"/>
      <c r="J579" s="192"/>
      <c r="K579" s="192"/>
      <c r="L579" s="192"/>
      <c r="M579" s="192"/>
      <c r="N579" s="192"/>
      <c r="O579" s="192"/>
      <c r="P579" s="88"/>
      <c r="R579" s="89"/>
      <c r="T579" s="11" t="str">
        <f>IF(D579="","G","R")</f>
        <v>G</v>
      </c>
    </row>
    <row r="580" spans="2:20" ht="25.5" x14ac:dyDescent="0.25">
      <c r="B580" s="90"/>
      <c r="C580" s="102" t="str">
        <f>$B$577&amp;"-"&amp;D580</f>
        <v>FI-JR-61-F-AF</v>
      </c>
      <c r="D580" s="91" t="s">
        <v>1093</v>
      </c>
      <c r="E580" s="103" t="s">
        <v>317</v>
      </c>
      <c r="F580" s="93"/>
      <c r="G580" s="118">
        <v>0</v>
      </c>
      <c r="H580" s="105" t="str">
        <f>$B$577&amp;"-"&amp;I580</f>
        <v>FI-JR-61-F-LA</v>
      </c>
      <c r="I580" s="91" t="s">
        <v>1317</v>
      </c>
      <c r="J580" s="92" t="s">
        <v>1312</v>
      </c>
      <c r="K580" s="118">
        <v>0</v>
      </c>
      <c r="L580" s="105" t="str">
        <f>$B$577&amp;"-"&amp;M580</f>
        <v>FI-JR-61-F-TZ</v>
      </c>
      <c r="M580" s="91" t="s">
        <v>1110</v>
      </c>
      <c r="N580" s="92" t="s">
        <v>526</v>
      </c>
      <c r="O580" s="117">
        <v>0</v>
      </c>
      <c r="P580" s="95"/>
      <c r="R580" s="89"/>
      <c r="T580" s="11" t="str">
        <f>IF(OR(AND(OR(ISBLANK(G580),ISBLANK(K580),ISBLANK(O580)),$R$577&gt;0),AND($R$577&lt;=0,OR(OR(G580&lt;&gt;0,K580&lt;&gt;0,O580&lt;&gt;0)))),"R","G")</f>
        <v>G</v>
      </c>
    </row>
    <row r="581" spans="2:20" x14ac:dyDescent="0.25">
      <c r="B581" s="90"/>
      <c r="C581" s="102" t="str">
        <f t="shared" ref="C581:C592" si="116">$B$577&amp;"-"&amp;D581</f>
        <v>FI-JR-61-F-DZ</v>
      </c>
      <c r="D581" s="91" t="s">
        <v>1094</v>
      </c>
      <c r="E581" s="103" t="s">
        <v>319</v>
      </c>
      <c r="F581" s="93"/>
      <c r="G581" s="118">
        <v>0</v>
      </c>
      <c r="H581" s="105" t="str">
        <f t="shared" ref="H581:H592" si="117">$B$577&amp;"-"&amp;I581</f>
        <v>FI-JR-61-F-LB</v>
      </c>
      <c r="I581" s="91" t="s">
        <v>1102</v>
      </c>
      <c r="J581" s="92" t="s">
        <v>434</v>
      </c>
      <c r="K581" s="118">
        <v>0</v>
      </c>
      <c r="L581" s="105" t="str">
        <f t="shared" ref="L581:L586" si="118">$B$577&amp;"-"&amp;M581</f>
        <v>FI-JR-61-F-TT</v>
      </c>
      <c r="M581" s="91" t="s">
        <v>1111</v>
      </c>
      <c r="N581" s="92" t="s">
        <v>532</v>
      </c>
      <c r="O581" s="117">
        <v>0</v>
      </c>
      <c r="P581" s="95"/>
      <c r="R581" s="89"/>
      <c r="T581" s="11" t="str">
        <f t="shared" ref="T581:T586" si="119">IF(OR(AND(OR(ISBLANK(G581),ISBLANK(K581),ISBLANK(O581)),$R$577&gt;0),AND($R$577&lt;=0,OR(OR(G581&lt;&gt;0,K581&lt;&gt;0,O581&lt;&gt;0)))),"R","G")</f>
        <v>G</v>
      </c>
    </row>
    <row r="582" spans="2:20" x14ac:dyDescent="0.25">
      <c r="B582" s="90"/>
      <c r="C582" s="102" t="str">
        <f t="shared" si="116"/>
        <v>FI-JR-61-F-AO</v>
      </c>
      <c r="D582" s="91" t="s">
        <v>1095</v>
      </c>
      <c r="E582" s="103" t="s">
        <v>322</v>
      </c>
      <c r="F582" s="93"/>
      <c r="G582" s="118">
        <v>0</v>
      </c>
      <c r="H582" s="105" t="str">
        <f t="shared" si="117"/>
        <v>FI-JR-61-F-ML</v>
      </c>
      <c r="I582" s="91" t="s">
        <v>1103</v>
      </c>
      <c r="J582" s="92" t="s">
        <v>447</v>
      </c>
      <c r="K582" s="118">
        <v>0</v>
      </c>
      <c r="L582" s="105" t="str">
        <f t="shared" si="118"/>
        <v>FI-JR-61-F-VU</v>
      </c>
      <c r="M582" s="91" t="s">
        <v>1112</v>
      </c>
      <c r="N582" s="92" t="s">
        <v>546</v>
      </c>
      <c r="O582" s="117">
        <v>0</v>
      </c>
      <c r="P582" s="95"/>
      <c r="R582" s="89"/>
      <c r="T582" s="11" t="str">
        <f t="shared" si="119"/>
        <v>G</v>
      </c>
    </row>
    <row r="583" spans="2:20" x14ac:dyDescent="0.25">
      <c r="B583" s="90"/>
      <c r="C583" s="102" t="str">
        <f t="shared" si="116"/>
        <v>FI-JR-61-F-BO</v>
      </c>
      <c r="D583" s="91" t="s">
        <v>1316</v>
      </c>
      <c r="E583" s="103" t="s">
        <v>342</v>
      </c>
      <c r="F583" s="93"/>
      <c r="G583" s="118">
        <v>0</v>
      </c>
      <c r="H583" s="105" t="str">
        <f t="shared" si="117"/>
        <v>FI-JR-61-F-MN</v>
      </c>
      <c r="I583" s="91" t="s">
        <v>1315</v>
      </c>
      <c r="J583" s="92" t="s">
        <v>457</v>
      </c>
      <c r="K583" s="118">
        <v>0</v>
      </c>
      <c r="L583" s="105" t="str">
        <f t="shared" si="118"/>
        <v>FI-JR-61-F-VE</v>
      </c>
      <c r="M583" s="91" t="s">
        <v>1113</v>
      </c>
      <c r="N583" s="92" t="s">
        <v>547</v>
      </c>
      <c r="O583" s="117">
        <v>0</v>
      </c>
      <c r="P583" s="95"/>
      <c r="R583" s="89"/>
      <c r="T583" s="11" t="str">
        <f t="shared" si="119"/>
        <v>G</v>
      </c>
    </row>
    <row r="584" spans="2:20" x14ac:dyDescent="0.25">
      <c r="B584" s="90"/>
      <c r="C584" s="102" t="str">
        <f t="shared" si="116"/>
        <v>FI-JR-61-F-BG</v>
      </c>
      <c r="D584" s="91" t="s">
        <v>1096</v>
      </c>
      <c r="E584" s="103" t="s">
        <v>349</v>
      </c>
      <c r="F584" s="93"/>
      <c r="G584" s="118">
        <v>0</v>
      </c>
      <c r="H584" s="105" t="str">
        <f t="shared" si="117"/>
        <v>FI-JR-61-F-MZ</v>
      </c>
      <c r="I584" s="91" t="s">
        <v>1104</v>
      </c>
      <c r="J584" s="92" t="s">
        <v>461</v>
      </c>
      <c r="K584" s="118">
        <v>0</v>
      </c>
      <c r="L584" s="105" t="str">
        <f t="shared" si="118"/>
        <v>FI-JR-61-F-VN</v>
      </c>
      <c r="M584" s="91" t="s">
        <v>1114</v>
      </c>
      <c r="N584" s="92" t="s">
        <v>1313</v>
      </c>
      <c r="O584" s="117">
        <v>0</v>
      </c>
      <c r="P584" s="95"/>
      <c r="R584" s="89"/>
      <c r="T584" s="11" t="str">
        <f t="shared" si="119"/>
        <v>G</v>
      </c>
    </row>
    <row r="585" spans="2:20" x14ac:dyDescent="0.25">
      <c r="B585" s="90"/>
      <c r="C585" s="102" t="str">
        <f t="shared" si="116"/>
        <v>FI-JR-61-F-BF</v>
      </c>
      <c r="D585" s="91" t="s">
        <v>1097</v>
      </c>
      <c r="E585" s="103" t="s">
        <v>350</v>
      </c>
      <c r="F585" s="93"/>
      <c r="G585" s="118">
        <v>0</v>
      </c>
      <c r="H585" s="105" t="str">
        <f t="shared" si="117"/>
        <v>FI-JR-61-F-MM</v>
      </c>
      <c r="I585" s="91" t="s">
        <v>1105</v>
      </c>
      <c r="J585" s="92" t="s">
        <v>462</v>
      </c>
      <c r="K585" s="118">
        <v>0</v>
      </c>
      <c r="L585" s="105" t="str">
        <f t="shared" si="118"/>
        <v>FI-JR-61-F-VI</v>
      </c>
      <c r="M585" s="91" t="s">
        <v>1319</v>
      </c>
      <c r="N585" s="92" t="s">
        <v>1314</v>
      </c>
      <c r="O585" s="117">
        <v>0</v>
      </c>
      <c r="P585" s="95"/>
      <c r="R585" s="89"/>
      <c r="T585" s="11" t="str">
        <f t="shared" si="119"/>
        <v>G</v>
      </c>
    </row>
    <row r="586" spans="2:20" x14ac:dyDescent="0.25">
      <c r="B586" s="90"/>
      <c r="C586" s="102" t="str">
        <f t="shared" si="116"/>
        <v>FI-JR-61-F-CM</v>
      </c>
      <c r="D586" s="91" t="s">
        <v>1098</v>
      </c>
      <c r="E586" s="103" t="s">
        <v>353</v>
      </c>
      <c r="F586" s="93"/>
      <c r="G586" s="118">
        <v>0</v>
      </c>
      <c r="H586" s="105" t="str">
        <f t="shared" si="117"/>
        <v>FI-JR-61-F-NA</v>
      </c>
      <c r="I586" s="91" t="s">
        <v>1106</v>
      </c>
      <c r="J586" s="92" t="s">
        <v>463</v>
      </c>
      <c r="K586" s="118">
        <v>0</v>
      </c>
      <c r="L586" s="105" t="str">
        <f t="shared" si="118"/>
        <v>FI-JR-61-F-YE</v>
      </c>
      <c r="M586" s="91" t="s">
        <v>1115</v>
      </c>
      <c r="N586" s="92" t="s">
        <v>553</v>
      </c>
      <c r="O586" s="117">
        <v>0</v>
      </c>
      <c r="P586" s="95"/>
      <c r="R586" s="89"/>
      <c r="T586" s="11" t="str">
        <f t="shared" si="119"/>
        <v>G</v>
      </c>
    </row>
    <row r="587" spans="2:20" ht="38.25" x14ac:dyDescent="0.25">
      <c r="B587" s="90"/>
      <c r="C587" s="102" t="str">
        <f t="shared" si="116"/>
        <v>FI-JR-61-F-CD</v>
      </c>
      <c r="D587" s="91" t="s">
        <v>1099</v>
      </c>
      <c r="E587" s="103" t="s">
        <v>366</v>
      </c>
      <c r="F587" s="93"/>
      <c r="G587" s="118">
        <v>0</v>
      </c>
      <c r="H587" s="105" t="str">
        <f t="shared" si="117"/>
        <v>FI-JR-61-F-NP</v>
      </c>
      <c r="I587" s="91" t="s">
        <v>1318</v>
      </c>
      <c r="J587" s="92" t="s">
        <v>465</v>
      </c>
      <c r="K587" s="118">
        <v>0</v>
      </c>
      <c r="L587" s="95"/>
      <c r="M587" s="95"/>
      <c r="N587" s="95"/>
      <c r="O587" s="95"/>
      <c r="P587" s="95"/>
      <c r="R587" s="89"/>
      <c r="T587" s="11" t="str">
        <f t="shared" ref="T587:T592" si="120">IF(OR(AND(OR(ISBLANK(G587),ISBLANK(K587)),$R$577&gt;0),AND($R$577&lt;=0,OR(OR(G587&lt;&gt;0,K587&lt;&gt;0)))),"R","G")</f>
        <v>G</v>
      </c>
    </row>
    <row r="588" spans="2:20" x14ac:dyDescent="0.25">
      <c r="B588" s="90"/>
      <c r="C588" s="102" t="str">
        <f t="shared" si="116"/>
        <v>FI-JR-61-F-CI</v>
      </c>
      <c r="D588" s="91" t="s">
        <v>1091</v>
      </c>
      <c r="E588" s="103" t="s">
        <v>369</v>
      </c>
      <c r="F588" s="93"/>
      <c r="G588" s="118">
        <v>0</v>
      </c>
      <c r="H588" s="105" t="str">
        <f t="shared" si="117"/>
        <v>FI-JR-61-F-NG</v>
      </c>
      <c r="I588" s="91" t="s">
        <v>1107</v>
      </c>
      <c r="J588" s="92" t="s">
        <v>472</v>
      </c>
      <c r="K588" s="118">
        <v>0</v>
      </c>
      <c r="L588" s="95"/>
      <c r="M588" s="95"/>
      <c r="N588" s="95"/>
      <c r="O588" s="95"/>
      <c r="P588" s="95"/>
      <c r="R588" s="89"/>
      <c r="T588" s="11" t="str">
        <f t="shared" si="120"/>
        <v>G</v>
      </c>
    </row>
    <row r="589" spans="2:20" x14ac:dyDescent="0.25">
      <c r="B589" s="90"/>
      <c r="C589" s="102" t="str">
        <f t="shared" si="116"/>
        <v>FI-JR-61-F-HT</v>
      </c>
      <c r="D589" s="91" t="s">
        <v>1100</v>
      </c>
      <c r="E589" s="103" t="s">
        <v>408</v>
      </c>
      <c r="F589" s="93"/>
      <c r="G589" s="118">
        <v>0</v>
      </c>
      <c r="H589" s="105" t="str">
        <f t="shared" si="117"/>
        <v>FI-JR-61-F-RU</v>
      </c>
      <c r="I589" s="91" t="s">
        <v>1321</v>
      </c>
      <c r="J589" s="92" t="s">
        <v>1320</v>
      </c>
      <c r="K589" s="118">
        <v>0</v>
      </c>
      <c r="L589" s="95"/>
      <c r="M589" s="95"/>
      <c r="N589" s="95"/>
      <c r="O589" s="95"/>
      <c r="P589" s="95"/>
      <c r="R589" s="89"/>
      <c r="T589" s="11" t="str">
        <f t="shared" si="120"/>
        <v>G</v>
      </c>
    </row>
    <row r="590" spans="2:20" ht="25.5" x14ac:dyDescent="0.25">
      <c r="B590" s="90"/>
      <c r="C590" s="102" t="str">
        <f t="shared" si="116"/>
        <v>FI-JR-61-F-IR</v>
      </c>
      <c r="D590" s="91" t="s">
        <v>912</v>
      </c>
      <c r="E590" s="103" t="s">
        <v>417</v>
      </c>
      <c r="F590" s="93"/>
      <c r="G590" s="118">
        <v>0</v>
      </c>
      <c r="H590" s="105" t="str">
        <f t="shared" si="117"/>
        <v>FI-JR-61-F-ZA</v>
      </c>
      <c r="I590" s="91" t="s">
        <v>1108</v>
      </c>
      <c r="J590" s="92" t="s">
        <v>513</v>
      </c>
      <c r="K590" s="118">
        <v>0</v>
      </c>
      <c r="L590" s="95"/>
      <c r="M590" s="95"/>
      <c r="N590" s="95"/>
      <c r="O590" s="95"/>
      <c r="P590" s="95"/>
      <c r="R590" s="89"/>
      <c r="T590" s="11" t="str">
        <f t="shared" si="120"/>
        <v>G</v>
      </c>
    </row>
    <row r="591" spans="2:20" x14ac:dyDescent="0.25">
      <c r="B591" s="90"/>
      <c r="C591" s="102" t="str">
        <f t="shared" si="116"/>
        <v>FI-JR-61-F-KE</v>
      </c>
      <c r="D591" s="91" t="s">
        <v>1101</v>
      </c>
      <c r="E591" s="103" t="s">
        <v>426</v>
      </c>
      <c r="F591" s="93"/>
      <c r="G591" s="118">
        <v>0</v>
      </c>
      <c r="H591" s="105" t="str">
        <f t="shared" si="117"/>
        <v>FI-JR-61-F-SS</v>
      </c>
      <c r="I591" s="91" t="s">
        <v>1089</v>
      </c>
      <c r="J591" s="92" t="s">
        <v>1088</v>
      </c>
      <c r="K591" s="117">
        <v>0</v>
      </c>
      <c r="L591" s="94"/>
      <c r="M591" s="95"/>
      <c r="N591" s="95"/>
      <c r="O591" s="95"/>
      <c r="P591" s="95"/>
      <c r="R591" s="89"/>
      <c r="T591" s="11" t="str">
        <f t="shared" si="120"/>
        <v>G</v>
      </c>
    </row>
    <row r="592" spans="2:20" ht="25.5" x14ac:dyDescent="0.25">
      <c r="B592" s="90"/>
      <c r="C592" s="102" t="str">
        <f t="shared" si="116"/>
        <v>FI-JR-61-F-KP</v>
      </c>
      <c r="D592" s="91" t="s">
        <v>1090</v>
      </c>
      <c r="E592" s="103" t="s">
        <v>428</v>
      </c>
      <c r="F592" s="96"/>
      <c r="G592" s="118">
        <v>0</v>
      </c>
      <c r="H592" s="105" t="str">
        <f t="shared" si="117"/>
        <v>FI-JR-61-F-SY</v>
      </c>
      <c r="I592" s="91" t="s">
        <v>1109</v>
      </c>
      <c r="J592" s="92" t="s">
        <v>523</v>
      </c>
      <c r="K592" s="117">
        <v>0</v>
      </c>
      <c r="L592" s="94"/>
      <c r="M592" s="95"/>
      <c r="N592" s="95"/>
      <c r="O592" s="95"/>
      <c r="P592" s="95"/>
      <c r="R592" s="89"/>
      <c r="T592" s="11" t="str">
        <f t="shared" si="120"/>
        <v>G</v>
      </c>
    </row>
    <row r="593" spans="1:20" x14ac:dyDescent="0.25">
      <c r="E593" s="52"/>
      <c r="F593" s="52"/>
      <c r="G593" s="52"/>
      <c r="H593" s="52"/>
      <c r="I593" s="52"/>
      <c r="J593" s="52"/>
      <c r="K593" s="52"/>
      <c r="L593" s="52"/>
      <c r="M593" s="52"/>
      <c r="N593" s="52"/>
      <c r="O593" s="52"/>
      <c r="P593" s="52"/>
    </row>
    <row r="594" spans="1:20" ht="7.35" customHeight="1" x14ac:dyDescent="0.25">
      <c r="B594" s="71"/>
      <c r="C594" s="71"/>
      <c r="D594" s="15"/>
      <c r="E594" s="15"/>
      <c r="F594" s="15"/>
      <c r="G594" s="15"/>
      <c r="H594" s="15"/>
      <c r="I594" s="15"/>
      <c r="J594" s="15"/>
      <c r="K594" s="15"/>
      <c r="L594" s="15"/>
      <c r="M594" s="72"/>
      <c r="N594" s="72"/>
      <c r="O594" s="72"/>
      <c r="P594" s="72"/>
      <c r="Q594" s="73"/>
      <c r="R594" s="74"/>
    </row>
    <row r="595" spans="1:20" ht="7.15" customHeight="1" x14ac:dyDescent="0.25">
      <c r="A595" s="75"/>
      <c r="B595" s="76"/>
      <c r="C595" s="76"/>
      <c r="D595" s="77"/>
      <c r="E595" s="77"/>
      <c r="F595" s="77"/>
      <c r="G595" s="77"/>
      <c r="H595" s="77"/>
      <c r="I595" s="77"/>
      <c r="J595" s="77"/>
      <c r="K595" s="77"/>
      <c r="L595" s="77"/>
      <c r="M595" s="77"/>
      <c r="N595" s="77"/>
      <c r="O595" s="77"/>
      <c r="P595" s="77"/>
      <c r="Q595" s="75"/>
      <c r="R595" s="78"/>
      <c r="S595" s="75"/>
      <c r="T595" s="12"/>
    </row>
    <row r="596" spans="1:20" ht="6.75" customHeight="1" x14ac:dyDescent="0.25">
      <c r="B596" s="71"/>
      <c r="C596" s="71"/>
      <c r="D596" s="15"/>
      <c r="E596" s="15"/>
      <c r="F596" s="15"/>
      <c r="G596" s="15"/>
      <c r="H596" s="15"/>
      <c r="I596" s="15"/>
      <c r="J596" s="15"/>
      <c r="K596" s="15"/>
      <c r="L596" s="15"/>
      <c r="M596" s="15"/>
      <c r="N596" s="15"/>
      <c r="O596" s="15"/>
      <c r="P596" s="15"/>
      <c r="R596" s="74"/>
    </row>
    <row r="597" spans="1:20" ht="19.5" thickBot="1" x14ac:dyDescent="0.3">
      <c r="B597" s="38" t="s">
        <v>153</v>
      </c>
      <c r="C597" s="38"/>
      <c r="D597" s="39" t="s">
        <v>1161</v>
      </c>
      <c r="E597" s="40"/>
      <c r="F597" s="40"/>
      <c r="G597" s="40"/>
      <c r="H597" s="40"/>
      <c r="I597" s="40"/>
      <c r="J597" s="40"/>
      <c r="K597" s="40"/>
      <c r="L597" s="40"/>
      <c r="M597" s="40"/>
      <c r="N597" s="40"/>
      <c r="O597" s="40"/>
      <c r="P597" s="40"/>
      <c r="Q597" s="37"/>
      <c r="R597" s="42"/>
      <c r="S597" s="37"/>
    </row>
    <row r="598" spans="1:20" x14ac:dyDescent="0.25">
      <c r="E598" s="52"/>
      <c r="F598" s="52"/>
      <c r="G598" s="52"/>
      <c r="H598" s="52"/>
      <c r="I598" s="52"/>
      <c r="J598" s="52"/>
      <c r="K598" s="52"/>
      <c r="L598" s="52"/>
      <c r="M598" s="52"/>
      <c r="N598" s="52"/>
      <c r="O598" s="52"/>
      <c r="P598" s="52"/>
    </row>
    <row r="599" spans="1:20" ht="37.5" customHeight="1" x14ac:dyDescent="0.25">
      <c r="B599" s="15" t="s">
        <v>766</v>
      </c>
      <c r="D599" s="186" t="s">
        <v>1162</v>
      </c>
      <c r="E599" s="186"/>
      <c r="F599" s="186"/>
      <c r="G599" s="186"/>
      <c r="H599" s="186"/>
      <c r="I599" s="186"/>
      <c r="J599" s="186"/>
      <c r="K599" s="186"/>
      <c r="L599" s="186"/>
      <c r="M599" s="186"/>
      <c r="N599" s="186"/>
      <c r="O599" s="186"/>
      <c r="P599" s="52"/>
      <c r="R599" s="10"/>
    </row>
    <row r="600" spans="1:20" ht="52.5" customHeight="1" x14ac:dyDescent="0.25">
      <c r="D600" s="190" t="s">
        <v>1349</v>
      </c>
      <c r="E600" s="190"/>
      <c r="F600" s="190"/>
      <c r="G600" s="190"/>
      <c r="H600" s="190"/>
      <c r="I600" s="190"/>
      <c r="J600" s="190"/>
      <c r="K600" s="190"/>
      <c r="L600" s="190"/>
      <c r="M600" s="190"/>
      <c r="N600" s="190"/>
      <c r="O600" s="190"/>
      <c r="P600" s="190"/>
      <c r="R600" s="101"/>
    </row>
    <row r="601" spans="1:20" ht="15" customHeight="1" x14ac:dyDescent="0.25">
      <c r="B601" s="46" t="str">
        <f>B599&amp;"-M"</f>
        <v>FI-JR-53-M</v>
      </c>
      <c r="C601" s="46"/>
      <c r="D601" s="84"/>
      <c r="E601" s="189" t="s">
        <v>448</v>
      </c>
      <c r="F601" s="189"/>
      <c r="G601" s="189"/>
      <c r="H601" s="189"/>
      <c r="I601" s="189"/>
      <c r="J601" s="189"/>
      <c r="K601" s="189"/>
      <c r="L601" s="189"/>
      <c r="M601" s="189"/>
      <c r="N601" s="189"/>
      <c r="O601" s="189"/>
      <c r="P601" s="52"/>
      <c r="R601" s="67"/>
      <c r="T601" s="11" t="str">
        <f>IF(OR(AND(ISBLANK(R601),CR.68&gt;0),AND(CR.68&lt;=0,NOT(ISBLANK(R601)))),"R","G")</f>
        <v>G</v>
      </c>
    </row>
    <row r="602" spans="1:20" ht="15" customHeight="1" x14ac:dyDescent="0.25">
      <c r="B602" s="46" t="str">
        <f>B599&amp;"-E"</f>
        <v>FI-JR-53-E</v>
      </c>
      <c r="C602" s="46"/>
      <c r="D602" s="84"/>
      <c r="E602" s="189" t="s">
        <v>1084</v>
      </c>
      <c r="F602" s="189"/>
      <c r="G602" s="189"/>
      <c r="H602" s="189"/>
      <c r="I602" s="189"/>
      <c r="J602" s="189"/>
      <c r="K602" s="189"/>
      <c r="L602" s="189"/>
      <c r="M602" s="189"/>
      <c r="N602" s="189"/>
      <c r="O602" s="189"/>
      <c r="P602" s="52"/>
      <c r="R602" s="67"/>
      <c r="T602" s="11" t="str">
        <f>IF(OR(AND(ISBLANK(R602),CR.68&gt;0),AND(CR.68&lt;=0,NOT(ISBLANK(R602)))),"R","G")</f>
        <v>G</v>
      </c>
    </row>
    <row r="603" spans="1:20" ht="15" customHeight="1" x14ac:dyDescent="0.25">
      <c r="B603" s="46" t="str">
        <f>B599&amp;"-N"</f>
        <v>FI-JR-53-N</v>
      </c>
      <c r="C603" s="46"/>
      <c r="D603" s="84"/>
      <c r="E603" s="189" t="s">
        <v>1085</v>
      </c>
      <c r="F603" s="189"/>
      <c r="G603" s="189"/>
      <c r="H603" s="189"/>
      <c r="I603" s="189"/>
      <c r="J603" s="189"/>
      <c r="K603" s="189"/>
      <c r="L603" s="189"/>
      <c r="M603" s="189"/>
      <c r="N603" s="189"/>
      <c r="O603" s="189"/>
      <c r="P603" s="52"/>
      <c r="R603" s="67"/>
      <c r="T603" s="11" t="str">
        <f>IF(OR(AND(ISBLANK(R603),CR.68&gt;0),AND(CR.68&lt;=0,NOT(ISBLANK(R603)))),"R","G")</f>
        <v>G</v>
      </c>
    </row>
    <row r="604" spans="1:20" ht="27" customHeight="1" x14ac:dyDescent="0.25">
      <c r="B604" s="46" t="str">
        <f>B599&amp;"-F"</f>
        <v>FI-JR-53-F</v>
      </c>
      <c r="C604" s="46"/>
      <c r="D604" s="84"/>
      <c r="E604" s="191" t="s">
        <v>1086</v>
      </c>
      <c r="F604" s="191"/>
      <c r="G604" s="191"/>
      <c r="H604" s="191"/>
      <c r="I604" s="191"/>
      <c r="J604" s="191"/>
      <c r="K604" s="191"/>
      <c r="L604" s="191"/>
      <c r="M604" s="191"/>
      <c r="N604" s="191"/>
      <c r="O604" s="191"/>
      <c r="P604" s="86"/>
      <c r="R604" s="67"/>
      <c r="T604" s="11" t="str">
        <f>IF(OR(AND(ISBLANK(R604),CR.68&gt;0),AND(CR.68&lt;=0,NOT(ISBLANK(R604)))),"R","G")</f>
        <v>G</v>
      </c>
    </row>
    <row r="605" spans="1:20" ht="9.75" customHeight="1" x14ac:dyDescent="0.25">
      <c r="B605" s="10"/>
      <c r="C605" s="10"/>
      <c r="D605" s="10"/>
      <c r="E605" s="10"/>
      <c r="F605" s="10"/>
      <c r="G605" s="10"/>
      <c r="H605" s="10"/>
      <c r="I605" s="10"/>
      <c r="J605" s="10"/>
      <c r="K605" s="10"/>
      <c r="L605" s="10"/>
      <c r="M605" s="10"/>
      <c r="N605" s="10"/>
      <c r="O605" s="10"/>
      <c r="P605" s="10"/>
      <c r="R605" s="10"/>
    </row>
    <row r="606" spans="1:20" ht="15" customHeight="1" x14ac:dyDescent="0.25">
      <c r="B606" s="87"/>
      <c r="C606" s="87"/>
      <c r="D606" s="192" t="str">
        <f>IF(R604=0,"",IF(SUM(G607:G619,K607:K619,O607:O613)=R604,"","The totals included next to each jurisdiction do not add up to "&amp;R604&amp;", please revise the figures."))</f>
        <v/>
      </c>
      <c r="E606" s="192"/>
      <c r="F606" s="192"/>
      <c r="G606" s="192"/>
      <c r="H606" s="192"/>
      <c r="I606" s="192"/>
      <c r="J606" s="192"/>
      <c r="K606" s="192"/>
      <c r="L606" s="192"/>
      <c r="M606" s="192"/>
      <c r="N606" s="192"/>
      <c r="O606" s="192"/>
      <c r="P606" s="88"/>
      <c r="R606" s="89"/>
      <c r="T606" s="11" t="str">
        <f>IF(D606="","G","R")</f>
        <v>G</v>
      </c>
    </row>
    <row r="607" spans="1:20" ht="25.5" x14ac:dyDescent="0.25">
      <c r="B607" s="90"/>
      <c r="C607" s="102" t="str">
        <f>$B$604&amp;"-"&amp;D607</f>
        <v>FI-JR-53-F-AF</v>
      </c>
      <c r="D607" s="91" t="s">
        <v>1093</v>
      </c>
      <c r="E607" s="103" t="s">
        <v>317</v>
      </c>
      <c r="F607" s="93"/>
      <c r="G607" s="116">
        <v>0</v>
      </c>
      <c r="H607" s="105" t="str">
        <f>$B$604&amp;"-"&amp;I607</f>
        <v>FI-JR-53-F-LA</v>
      </c>
      <c r="I607" s="91" t="s">
        <v>1317</v>
      </c>
      <c r="J607" s="92" t="s">
        <v>1312</v>
      </c>
      <c r="K607" s="116">
        <v>0</v>
      </c>
      <c r="L607" s="105" t="str">
        <f>$B$604&amp;"-"&amp;M607</f>
        <v>FI-JR-53-F-TZ</v>
      </c>
      <c r="M607" s="91" t="s">
        <v>1110</v>
      </c>
      <c r="N607" s="92" t="s">
        <v>526</v>
      </c>
      <c r="O607" s="99">
        <v>0</v>
      </c>
      <c r="P607" s="95"/>
      <c r="R607" s="89"/>
      <c r="T607" s="11" t="str">
        <f>IF(OR(AND(OR(ISBLANK(G607),ISBLANK(K607),ISBLANK(O607)),$R$604&gt;0),AND($R$604&lt;=0,OR(OR(G607&lt;&gt;0,K607&lt;&gt;0,O607&lt;&gt;0)))),"R","G")</f>
        <v>G</v>
      </c>
    </row>
    <row r="608" spans="1:20" x14ac:dyDescent="0.25">
      <c r="B608" s="90"/>
      <c r="C608" s="102" t="str">
        <f t="shared" ref="C608:C619" si="121">$B$604&amp;"-"&amp;D608</f>
        <v>FI-JR-53-F-DZ</v>
      </c>
      <c r="D608" s="91" t="s">
        <v>1094</v>
      </c>
      <c r="E608" s="103" t="s">
        <v>319</v>
      </c>
      <c r="F608" s="93"/>
      <c r="G608" s="116">
        <v>0</v>
      </c>
      <c r="H608" s="105" t="str">
        <f t="shared" ref="H608:H619" si="122">$B$604&amp;"-"&amp;I608</f>
        <v>FI-JR-53-F-LB</v>
      </c>
      <c r="I608" s="91" t="s">
        <v>1102</v>
      </c>
      <c r="J608" s="92" t="s">
        <v>434</v>
      </c>
      <c r="K608" s="116">
        <v>0</v>
      </c>
      <c r="L608" s="105" t="str">
        <f t="shared" ref="L608:L613" si="123">$B$604&amp;"-"&amp;M608</f>
        <v>FI-JR-53-F-TT</v>
      </c>
      <c r="M608" s="91" t="s">
        <v>1111</v>
      </c>
      <c r="N608" s="92" t="s">
        <v>532</v>
      </c>
      <c r="O608" s="99">
        <v>0</v>
      </c>
      <c r="P608" s="95"/>
      <c r="R608" s="89"/>
      <c r="T608" s="11" t="str">
        <f t="shared" ref="T608:T613" si="124">IF(OR(AND(OR(ISBLANK(G608),ISBLANK(K608),ISBLANK(O608)),$R$604&gt;0),AND($R$604&lt;=0,OR(OR(G608&lt;&gt;0,K608&lt;&gt;0,O608&lt;&gt;0)))),"R","G")</f>
        <v>G</v>
      </c>
    </row>
    <row r="609" spans="2:20" x14ac:dyDescent="0.25">
      <c r="B609" s="90"/>
      <c r="C609" s="102" t="str">
        <f t="shared" si="121"/>
        <v>FI-JR-53-F-AO</v>
      </c>
      <c r="D609" s="91" t="s">
        <v>1095</v>
      </c>
      <c r="E609" s="103" t="s">
        <v>322</v>
      </c>
      <c r="F609" s="93"/>
      <c r="G609" s="116">
        <v>0</v>
      </c>
      <c r="H609" s="105" t="str">
        <f t="shared" si="122"/>
        <v>FI-JR-53-F-ML</v>
      </c>
      <c r="I609" s="91" t="s">
        <v>1103</v>
      </c>
      <c r="J609" s="92" t="s">
        <v>447</v>
      </c>
      <c r="K609" s="116">
        <v>0</v>
      </c>
      <c r="L609" s="105" t="str">
        <f t="shared" si="123"/>
        <v>FI-JR-53-F-VU</v>
      </c>
      <c r="M609" s="91" t="s">
        <v>1112</v>
      </c>
      <c r="N609" s="92" t="s">
        <v>546</v>
      </c>
      <c r="O609" s="99">
        <v>0</v>
      </c>
      <c r="P609" s="95"/>
      <c r="R609" s="89"/>
      <c r="T609" s="11" t="str">
        <f t="shared" si="124"/>
        <v>G</v>
      </c>
    </row>
    <row r="610" spans="2:20" x14ac:dyDescent="0.25">
      <c r="B610" s="90"/>
      <c r="C610" s="102" t="str">
        <f t="shared" si="121"/>
        <v>FI-JR-53-F-BO</v>
      </c>
      <c r="D610" s="91" t="s">
        <v>1316</v>
      </c>
      <c r="E610" s="103" t="s">
        <v>342</v>
      </c>
      <c r="F610" s="93"/>
      <c r="G610" s="116">
        <v>0</v>
      </c>
      <c r="H610" s="105" t="str">
        <f t="shared" si="122"/>
        <v>FI-JR-53-F-MN</v>
      </c>
      <c r="I610" s="91" t="s">
        <v>1315</v>
      </c>
      <c r="J610" s="92" t="s">
        <v>457</v>
      </c>
      <c r="K610" s="116">
        <v>0</v>
      </c>
      <c r="L610" s="105" t="str">
        <f t="shared" si="123"/>
        <v>FI-JR-53-F-VE</v>
      </c>
      <c r="M610" s="91" t="s">
        <v>1113</v>
      </c>
      <c r="N610" s="92" t="s">
        <v>547</v>
      </c>
      <c r="O610" s="99">
        <v>0</v>
      </c>
      <c r="P610" s="95"/>
      <c r="R610" s="89"/>
      <c r="T610" s="11" t="str">
        <f t="shared" si="124"/>
        <v>G</v>
      </c>
    </row>
    <row r="611" spans="2:20" x14ac:dyDescent="0.25">
      <c r="B611" s="90"/>
      <c r="C611" s="102" t="str">
        <f t="shared" si="121"/>
        <v>FI-JR-53-F-BG</v>
      </c>
      <c r="D611" s="91" t="s">
        <v>1096</v>
      </c>
      <c r="E611" s="103" t="s">
        <v>349</v>
      </c>
      <c r="F611" s="93"/>
      <c r="G611" s="116">
        <v>0</v>
      </c>
      <c r="H611" s="105" t="str">
        <f t="shared" si="122"/>
        <v>FI-JR-53-F-MZ</v>
      </c>
      <c r="I611" s="91" t="s">
        <v>1104</v>
      </c>
      <c r="J611" s="92" t="s">
        <v>461</v>
      </c>
      <c r="K611" s="116">
        <v>0</v>
      </c>
      <c r="L611" s="105" t="str">
        <f t="shared" si="123"/>
        <v>FI-JR-53-F-VN</v>
      </c>
      <c r="M611" s="91" t="s">
        <v>1114</v>
      </c>
      <c r="N611" s="92" t="s">
        <v>1313</v>
      </c>
      <c r="O611" s="99">
        <v>0</v>
      </c>
      <c r="P611" s="95"/>
      <c r="R611" s="89"/>
      <c r="T611" s="11" t="str">
        <f t="shared" si="124"/>
        <v>G</v>
      </c>
    </row>
    <row r="612" spans="2:20" x14ac:dyDescent="0.25">
      <c r="B612" s="90"/>
      <c r="C612" s="102" t="str">
        <f t="shared" si="121"/>
        <v>FI-JR-53-F-BF</v>
      </c>
      <c r="D612" s="91" t="s">
        <v>1097</v>
      </c>
      <c r="E612" s="103" t="s">
        <v>350</v>
      </c>
      <c r="F612" s="93"/>
      <c r="G612" s="116">
        <v>0</v>
      </c>
      <c r="H612" s="105" t="str">
        <f t="shared" si="122"/>
        <v>FI-JR-53-F-MM</v>
      </c>
      <c r="I612" s="91" t="s">
        <v>1105</v>
      </c>
      <c r="J612" s="92" t="s">
        <v>462</v>
      </c>
      <c r="K612" s="116">
        <v>0</v>
      </c>
      <c r="L612" s="105" t="str">
        <f t="shared" si="123"/>
        <v>FI-JR-53-F-VI</v>
      </c>
      <c r="M612" s="91" t="s">
        <v>1319</v>
      </c>
      <c r="N612" s="92" t="s">
        <v>1314</v>
      </c>
      <c r="O612" s="99">
        <v>0</v>
      </c>
      <c r="P612" s="95"/>
      <c r="R612" s="89"/>
      <c r="T612" s="11" t="str">
        <f t="shared" si="124"/>
        <v>G</v>
      </c>
    </row>
    <row r="613" spans="2:20" x14ac:dyDescent="0.25">
      <c r="B613" s="90"/>
      <c r="C613" s="102" t="str">
        <f t="shared" si="121"/>
        <v>FI-JR-53-F-CM</v>
      </c>
      <c r="D613" s="91" t="s">
        <v>1098</v>
      </c>
      <c r="E613" s="103" t="s">
        <v>353</v>
      </c>
      <c r="F613" s="93"/>
      <c r="G613" s="116">
        <v>0</v>
      </c>
      <c r="H613" s="105" t="str">
        <f t="shared" si="122"/>
        <v>FI-JR-53-F-NA</v>
      </c>
      <c r="I613" s="91" t="s">
        <v>1106</v>
      </c>
      <c r="J613" s="92" t="s">
        <v>463</v>
      </c>
      <c r="K613" s="116">
        <v>0</v>
      </c>
      <c r="L613" s="105" t="str">
        <f t="shared" si="123"/>
        <v>FI-JR-53-F-YE</v>
      </c>
      <c r="M613" s="91" t="s">
        <v>1115</v>
      </c>
      <c r="N613" s="92" t="s">
        <v>553</v>
      </c>
      <c r="O613" s="99">
        <v>0</v>
      </c>
      <c r="P613" s="95"/>
      <c r="R613" s="89"/>
      <c r="T613" s="11" t="str">
        <f t="shared" si="124"/>
        <v>G</v>
      </c>
    </row>
    <row r="614" spans="2:20" ht="38.25" x14ac:dyDescent="0.25">
      <c r="B614" s="90"/>
      <c r="C614" s="102" t="str">
        <f t="shared" si="121"/>
        <v>FI-JR-53-F-CD</v>
      </c>
      <c r="D614" s="91" t="s">
        <v>1099</v>
      </c>
      <c r="E614" s="103" t="s">
        <v>366</v>
      </c>
      <c r="F614" s="93"/>
      <c r="G614" s="116">
        <v>0</v>
      </c>
      <c r="H614" s="105" t="str">
        <f t="shared" si="122"/>
        <v>FI-JR-53-F-NP</v>
      </c>
      <c r="I614" s="91" t="s">
        <v>1318</v>
      </c>
      <c r="J614" s="92" t="s">
        <v>465</v>
      </c>
      <c r="K614" s="116">
        <v>0</v>
      </c>
      <c r="L614" s="95"/>
      <c r="M614" s="95"/>
      <c r="N614" s="95"/>
      <c r="O614" s="95"/>
      <c r="P614" s="95"/>
      <c r="R614" s="89"/>
      <c r="T614" s="11" t="str">
        <f t="shared" ref="T614:T619" si="125">IF(OR(AND(OR(ISBLANK(G614),ISBLANK(K614)),$R$604&gt;0),AND($R$604&lt;=0,OR(OR(G614&lt;&gt;0,K614&lt;&gt;0)))),"R","G")</f>
        <v>G</v>
      </c>
    </row>
    <row r="615" spans="2:20" x14ac:dyDescent="0.25">
      <c r="B615" s="90"/>
      <c r="C615" s="102" t="str">
        <f t="shared" si="121"/>
        <v>FI-JR-53-F-CI</v>
      </c>
      <c r="D615" s="91" t="s">
        <v>1091</v>
      </c>
      <c r="E615" s="103" t="s">
        <v>369</v>
      </c>
      <c r="F615" s="93"/>
      <c r="G615" s="116">
        <v>0</v>
      </c>
      <c r="H615" s="105" t="str">
        <f t="shared" si="122"/>
        <v>FI-JR-53-F-NG</v>
      </c>
      <c r="I615" s="91" t="s">
        <v>1107</v>
      </c>
      <c r="J615" s="92" t="s">
        <v>472</v>
      </c>
      <c r="K615" s="116">
        <v>0</v>
      </c>
      <c r="L615" s="95"/>
      <c r="M615" s="95"/>
      <c r="N615" s="95"/>
      <c r="O615" s="95"/>
      <c r="P615" s="95"/>
      <c r="R615" s="89"/>
      <c r="T615" s="11" t="str">
        <f t="shared" si="125"/>
        <v>G</v>
      </c>
    </row>
    <row r="616" spans="2:20" x14ac:dyDescent="0.25">
      <c r="B616" s="90"/>
      <c r="C616" s="102" t="str">
        <f t="shared" si="121"/>
        <v>FI-JR-53-F-HT</v>
      </c>
      <c r="D616" s="91" t="s">
        <v>1100</v>
      </c>
      <c r="E616" s="103" t="s">
        <v>408</v>
      </c>
      <c r="F616" s="93"/>
      <c r="G616" s="116">
        <v>0</v>
      </c>
      <c r="H616" s="105" t="str">
        <f t="shared" si="122"/>
        <v>FI-JR-53-F-RU</v>
      </c>
      <c r="I616" s="91" t="s">
        <v>1321</v>
      </c>
      <c r="J616" s="92" t="s">
        <v>1320</v>
      </c>
      <c r="K616" s="116">
        <v>0</v>
      </c>
      <c r="L616" s="95"/>
      <c r="M616" s="95"/>
      <c r="N616" s="95"/>
      <c r="O616" s="95"/>
      <c r="P616" s="95"/>
      <c r="R616" s="89"/>
      <c r="T616" s="11" t="str">
        <f t="shared" si="125"/>
        <v>G</v>
      </c>
    </row>
    <row r="617" spans="2:20" ht="25.5" x14ac:dyDescent="0.25">
      <c r="B617" s="90"/>
      <c r="C617" s="102" t="str">
        <f t="shared" si="121"/>
        <v>FI-JR-53-F-IR</v>
      </c>
      <c r="D617" s="91" t="s">
        <v>912</v>
      </c>
      <c r="E617" s="103" t="s">
        <v>417</v>
      </c>
      <c r="F617" s="93"/>
      <c r="G617" s="116">
        <v>0</v>
      </c>
      <c r="H617" s="105" t="str">
        <f t="shared" si="122"/>
        <v>FI-JR-53-F-ZA</v>
      </c>
      <c r="I617" s="91" t="s">
        <v>1108</v>
      </c>
      <c r="J617" s="92" t="s">
        <v>513</v>
      </c>
      <c r="K617" s="116">
        <v>0</v>
      </c>
      <c r="L617" s="95"/>
      <c r="M617" s="95"/>
      <c r="N617" s="95"/>
      <c r="O617" s="95"/>
      <c r="P617" s="95"/>
      <c r="R617" s="89"/>
      <c r="T617" s="11" t="str">
        <f t="shared" si="125"/>
        <v>G</v>
      </c>
    </row>
    <row r="618" spans="2:20" x14ac:dyDescent="0.25">
      <c r="B618" s="90"/>
      <c r="C618" s="102" t="str">
        <f t="shared" si="121"/>
        <v>FI-JR-53-F-KE</v>
      </c>
      <c r="D618" s="91" t="s">
        <v>1101</v>
      </c>
      <c r="E618" s="103" t="s">
        <v>426</v>
      </c>
      <c r="F618" s="93"/>
      <c r="G618" s="116">
        <v>0</v>
      </c>
      <c r="H618" s="105" t="str">
        <f t="shared" si="122"/>
        <v>FI-JR-53-F-SS</v>
      </c>
      <c r="I618" s="91" t="s">
        <v>1089</v>
      </c>
      <c r="J618" s="92" t="s">
        <v>1088</v>
      </c>
      <c r="K618" s="99">
        <v>0</v>
      </c>
      <c r="L618" s="94"/>
      <c r="M618" s="95"/>
      <c r="N618" s="95"/>
      <c r="O618" s="95"/>
      <c r="P618" s="95"/>
      <c r="R618" s="89"/>
      <c r="T618" s="11" t="str">
        <f t="shared" si="125"/>
        <v>G</v>
      </c>
    </row>
    <row r="619" spans="2:20" ht="25.5" x14ac:dyDescent="0.25">
      <c r="B619" s="90"/>
      <c r="C619" s="102" t="str">
        <f t="shared" si="121"/>
        <v>FI-JR-53-F-KP</v>
      </c>
      <c r="D619" s="91" t="s">
        <v>1090</v>
      </c>
      <c r="E619" s="103" t="s">
        <v>428</v>
      </c>
      <c r="F619" s="96"/>
      <c r="G619" s="116">
        <v>0</v>
      </c>
      <c r="H619" s="105" t="str">
        <f t="shared" si="122"/>
        <v>FI-JR-53-F-SY</v>
      </c>
      <c r="I619" s="91" t="s">
        <v>1109</v>
      </c>
      <c r="J619" s="92" t="s">
        <v>523</v>
      </c>
      <c r="K619" s="99">
        <v>0</v>
      </c>
      <c r="L619" s="94"/>
      <c r="M619" s="95"/>
      <c r="N619" s="95"/>
      <c r="O619" s="95"/>
      <c r="P619" s="95"/>
      <c r="R619" s="89"/>
      <c r="T619" s="11" t="str">
        <f t="shared" si="125"/>
        <v>G</v>
      </c>
    </row>
    <row r="620" spans="2:20" x14ac:dyDescent="0.25">
      <c r="E620" s="52"/>
      <c r="F620" s="52"/>
      <c r="G620" s="52"/>
      <c r="H620" s="52"/>
      <c r="I620" s="52"/>
      <c r="J620" s="52"/>
      <c r="K620" s="52"/>
      <c r="L620" s="52"/>
      <c r="M620" s="52"/>
      <c r="N620" s="52"/>
      <c r="O620" s="52"/>
      <c r="P620" s="52"/>
    </row>
    <row r="621" spans="2:20" ht="37.5" customHeight="1" x14ac:dyDescent="0.25">
      <c r="B621" s="15" t="s">
        <v>767</v>
      </c>
      <c r="D621" s="186" t="s">
        <v>1163</v>
      </c>
      <c r="E621" s="186"/>
      <c r="F621" s="186"/>
      <c r="G621" s="186"/>
      <c r="H621" s="186"/>
      <c r="I621" s="186"/>
      <c r="J621" s="186"/>
      <c r="K621" s="186"/>
      <c r="L621" s="186"/>
      <c r="M621" s="186"/>
      <c r="N621" s="186"/>
      <c r="O621" s="186"/>
      <c r="P621" s="52"/>
      <c r="R621" s="10"/>
    </row>
    <row r="622" spans="2:20" ht="52.5" customHeight="1" x14ac:dyDescent="0.25">
      <c r="D622" s="190" t="s">
        <v>1349</v>
      </c>
      <c r="E622" s="190"/>
      <c r="F622" s="190"/>
      <c r="G622" s="190"/>
      <c r="H622" s="190"/>
      <c r="I622" s="190"/>
      <c r="J622" s="190"/>
      <c r="K622" s="190"/>
      <c r="L622" s="190"/>
      <c r="M622" s="190"/>
      <c r="N622" s="190"/>
      <c r="O622" s="190"/>
      <c r="P622" s="190"/>
      <c r="R622" s="101"/>
    </row>
    <row r="623" spans="2:20" ht="15" customHeight="1" x14ac:dyDescent="0.25">
      <c r="B623" s="46" t="str">
        <f>B621&amp;"-M"</f>
        <v>FI-JR-54-M</v>
      </c>
      <c r="C623" s="46"/>
      <c r="D623" s="84"/>
      <c r="E623" s="189" t="s">
        <v>448</v>
      </c>
      <c r="F623" s="189"/>
      <c r="G623" s="189"/>
      <c r="H623" s="189"/>
      <c r="I623" s="189"/>
      <c r="J623" s="189"/>
      <c r="K623" s="189"/>
      <c r="L623" s="189"/>
      <c r="M623" s="189"/>
      <c r="N623" s="189"/>
      <c r="O623" s="189"/>
      <c r="P623" s="52"/>
      <c r="R623" s="67"/>
      <c r="T623" s="11" t="str">
        <f>IF(OR(AND(ISBLANK(R623),CR.69&gt;0),AND(CR.69&lt;=0,NOT(ISBLANK(R623)))),"R","G")</f>
        <v>G</v>
      </c>
    </row>
    <row r="624" spans="2:20" ht="15" customHeight="1" x14ac:dyDescent="0.25">
      <c r="B624" s="46" t="str">
        <f>B621&amp;"-E"</f>
        <v>FI-JR-54-E</v>
      </c>
      <c r="C624" s="46"/>
      <c r="D624" s="84"/>
      <c r="E624" s="189" t="s">
        <v>1084</v>
      </c>
      <c r="F624" s="189"/>
      <c r="G624" s="189"/>
      <c r="H624" s="189"/>
      <c r="I624" s="189"/>
      <c r="J624" s="189"/>
      <c r="K624" s="189"/>
      <c r="L624" s="189"/>
      <c r="M624" s="189"/>
      <c r="N624" s="189"/>
      <c r="O624" s="189"/>
      <c r="P624" s="52"/>
      <c r="R624" s="67"/>
      <c r="T624" s="11" t="str">
        <f>IF(OR(AND(ISBLANK(R624),CR.69&gt;0),AND(CR.69&lt;=0,NOT(ISBLANK(R624)))),"R","G")</f>
        <v>G</v>
      </c>
    </row>
    <row r="625" spans="2:20" ht="15" customHeight="1" x14ac:dyDescent="0.25">
      <c r="B625" s="46" t="str">
        <f>B621&amp;"-N"</f>
        <v>FI-JR-54-N</v>
      </c>
      <c r="C625" s="46"/>
      <c r="D625" s="84"/>
      <c r="E625" s="189" t="s">
        <v>1085</v>
      </c>
      <c r="F625" s="189"/>
      <c r="G625" s="189"/>
      <c r="H625" s="189"/>
      <c r="I625" s="189"/>
      <c r="J625" s="189"/>
      <c r="K625" s="189"/>
      <c r="L625" s="189"/>
      <c r="M625" s="189"/>
      <c r="N625" s="189"/>
      <c r="O625" s="189"/>
      <c r="P625" s="52"/>
      <c r="R625" s="67"/>
      <c r="T625" s="11" t="str">
        <f>IF(OR(AND(ISBLANK(R625),CR.69&gt;0),AND(CR.69&lt;=0,NOT(ISBLANK(R625)))),"R","G")</f>
        <v>G</v>
      </c>
    </row>
    <row r="626" spans="2:20" ht="27" customHeight="1" x14ac:dyDescent="0.25">
      <c r="B626" s="46" t="str">
        <f>B621&amp;"-F"</f>
        <v>FI-JR-54-F</v>
      </c>
      <c r="C626" s="46"/>
      <c r="D626" s="84"/>
      <c r="E626" s="191" t="s">
        <v>1086</v>
      </c>
      <c r="F626" s="191"/>
      <c r="G626" s="191"/>
      <c r="H626" s="191"/>
      <c r="I626" s="191"/>
      <c r="J626" s="191"/>
      <c r="K626" s="191"/>
      <c r="L626" s="191"/>
      <c r="M626" s="191"/>
      <c r="N626" s="191"/>
      <c r="O626" s="191"/>
      <c r="P626" s="86"/>
      <c r="R626" s="67"/>
      <c r="T626" s="11" t="str">
        <f>IF(OR(AND(ISBLANK(R626),CR.69&gt;0),AND(CR.69&lt;=0,NOT(ISBLANK(R626)))),"R","G")</f>
        <v>G</v>
      </c>
    </row>
    <row r="627" spans="2:20" ht="9.75" customHeight="1" x14ac:dyDescent="0.25">
      <c r="B627" s="10"/>
      <c r="C627" s="10"/>
      <c r="D627" s="10"/>
      <c r="E627" s="10"/>
      <c r="F627" s="10"/>
      <c r="G627" s="10"/>
      <c r="H627" s="10"/>
      <c r="I627" s="10"/>
      <c r="J627" s="10"/>
      <c r="K627" s="10"/>
      <c r="L627" s="10"/>
      <c r="M627" s="10"/>
      <c r="N627" s="10"/>
      <c r="O627" s="10"/>
      <c r="P627" s="10"/>
      <c r="R627" s="10"/>
    </row>
    <row r="628" spans="2:20" ht="15" customHeight="1" x14ac:dyDescent="0.25">
      <c r="B628" s="87"/>
      <c r="C628" s="87"/>
      <c r="D628" s="192" t="str">
        <f>IF(R626=0,"",IF(SUM(G629:G641,K629:K641,O629:O635)=R626,"","The totals included next to each jurisdiction do not add up to "&amp;R626&amp;", please revise the figures."))</f>
        <v/>
      </c>
      <c r="E628" s="192"/>
      <c r="F628" s="192"/>
      <c r="G628" s="192"/>
      <c r="H628" s="192"/>
      <c r="I628" s="192"/>
      <c r="J628" s="192"/>
      <c r="K628" s="192"/>
      <c r="L628" s="192"/>
      <c r="M628" s="192"/>
      <c r="N628" s="192"/>
      <c r="O628" s="192"/>
      <c r="P628" s="88"/>
      <c r="R628" s="89"/>
      <c r="T628" s="11" t="str">
        <f>IF(D628="","G","R")</f>
        <v>G</v>
      </c>
    </row>
    <row r="629" spans="2:20" ht="25.5" x14ac:dyDescent="0.25">
      <c r="B629" s="90"/>
      <c r="C629" s="102" t="str">
        <f>$B$626&amp;"-"&amp;D629</f>
        <v>FI-JR-54-F-AF</v>
      </c>
      <c r="D629" s="91" t="s">
        <v>1093</v>
      </c>
      <c r="E629" s="103" t="s">
        <v>317</v>
      </c>
      <c r="F629" s="93"/>
      <c r="G629" s="116">
        <v>0</v>
      </c>
      <c r="H629" s="105" t="str">
        <f>$B$626&amp;"-"&amp;I629</f>
        <v>FI-JR-54-F-LA</v>
      </c>
      <c r="I629" s="91" t="s">
        <v>1317</v>
      </c>
      <c r="J629" s="92" t="s">
        <v>1312</v>
      </c>
      <c r="K629" s="116">
        <v>0</v>
      </c>
      <c r="L629" s="105" t="str">
        <f>$B$626&amp;"-"&amp;M629</f>
        <v>FI-JR-54-F-TZ</v>
      </c>
      <c r="M629" s="91" t="s">
        <v>1110</v>
      </c>
      <c r="N629" s="92" t="s">
        <v>526</v>
      </c>
      <c r="O629" s="99">
        <v>0</v>
      </c>
      <c r="P629" s="95"/>
      <c r="R629" s="89"/>
      <c r="T629" s="11" t="str">
        <f>IF(OR(AND(OR(ISBLANK(G629),ISBLANK(K629),ISBLANK(O629)),$R$626&gt;0),AND($R$626&lt;=0,OR(OR(G629&lt;&gt;0,K629&lt;&gt;0,O629&lt;&gt;0)))),"R","G")</f>
        <v>G</v>
      </c>
    </row>
    <row r="630" spans="2:20" x14ac:dyDescent="0.25">
      <c r="B630" s="90"/>
      <c r="C630" s="102" t="str">
        <f t="shared" ref="C630:C641" si="126">$B$626&amp;"-"&amp;D630</f>
        <v>FI-JR-54-F-DZ</v>
      </c>
      <c r="D630" s="91" t="s">
        <v>1094</v>
      </c>
      <c r="E630" s="103" t="s">
        <v>319</v>
      </c>
      <c r="F630" s="93"/>
      <c r="G630" s="116">
        <v>0</v>
      </c>
      <c r="H630" s="105" t="str">
        <f t="shared" ref="H630:H641" si="127">$B$626&amp;"-"&amp;I630</f>
        <v>FI-JR-54-F-LB</v>
      </c>
      <c r="I630" s="91" t="s">
        <v>1102</v>
      </c>
      <c r="J630" s="92" t="s">
        <v>434</v>
      </c>
      <c r="K630" s="116">
        <v>0</v>
      </c>
      <c r="L630" s="105" t="str">
        <f t="shared" ref="L630:L635" si="128">$B$626&amp;"-"&amp;M630</f>
        <v>FI-JR-54-F-TT</v>
      </c>
      <c r="M630" s="91" t="s">
        <v>1111</v>
      </c>
      <c r="N630" s="92" t="s">
        <v>532</v>
      </c>
      <c r="O630" s="99">
        <v>0</v>
      </c>
      <c r="P630" s="95"/>
      <c r="R630" s="89"/>
      <c r="T630" s="11" t="str">
        <f t="shared" ref="T630:T635" si="129">IF(OR(AND(OR(ISBLANK(G630),ISBLANK(K630),ISBLANK(O630)),$R$626&gt;0),AND($R$626&lt;=0,OR(OR(G630&lt;&gt;0,K630&lt;&gt;0,O630&lt;&gt;0)))),"R","G")</f>
        <v>G</v>
      </c>
    </row>
    <row r="631" spans="2:20" x14ac:dyDescent="0.25">
      <c r="B631" s="90"/>
      <c r="C631" s="102" t="str">
        <f t="shared" si="126"/>
        <v>FI-JR-54-F-AO</v>
      </c>
      <c r="D631" s="91" t="s">
        <v>1095</v>
      </c>
      <c r="E631" s="103" t="s">
        <v>322</v>
      </c>
      <c r="F631" s="93"/>
      <c r="G631" s="116">
        <v>0</v>
      </c>
      <c r="H631" s="105" t="str">
        <f t="shared" si="127"/>
        <v>FI-JR-54-F-ML</v>
      </c>
      <c r="I631" s="91" t="s">
        <v>1103</v>
      </c>
      <c r="J631" s="92" t="s">
        <v>447</v>
      </c>
      <c r="K631" s="116">
        <v>0</v>
      </c>
      <c r="L631" s="105" t="str">
        <f t="shared" si="128"/>
        <v>FI-JR-54-F-VU</v>
      </c>
      <c r="M631" s="91" t="s">
        <v>1112</v>
      </c>
      <c r="N631" s="92" t="s">
        <v>546</v>
      </c>
      <c r="O631" s="99">
        <v>0</v>
      </c>
      <c r="P631" s="95"/>
      <c r="R631" s="89"/>
      <c r="T631" s="11" t="str">
        <f t="shared" si="129"/>
        <v>G</v>
      </c>
    </row>
    <row r="632" spans="2:20" x14ac:dyDescent="0.25">
      <c r="B632" s="90"/>
      <c r="C632" s="102" t="str">
        <f t="shared" si="126"/>
        <v>FI-JR-54-F-BO</v>
      </c>
      <c r="D632" s="91" t="s">
        <v>1316</v>
      </c>
      <c r="E632" s="103" t="s">
        <v>342</v>
      </c>
      <c r="F632" s="93"/>
      <c r="G632" s="116">
        <v>0</v>
      </c>
      <c r="H632" s="105" t="str">
        <f t="shared" si="127"/>
        <v>FI-JR-54-F-MN</v>
      </c>
      <c r="I632" s="91" t="s">
        <v>1315</v>
      </c>
      <c r="J632" s="92" t="s">
        <v>457</v>
      </c>
      <c r="K632" s="116">
        <v>0</v>
      </c>
      <c r="L632" s="105" t="str">
        <f t="shared" si="128"/>
        <v>FI-JR-54-F-VE</v>
      </c>
      <c r="M632" s="91" t="s">
        <v>1113</v>
      </c>
      <c r="N632" s="92" t="s">
        <v>547</v>
      </c>
      <c r="O632" s="99">
        <v>0</v>
      </c>
      <c r="P632" s="95"/>
      <c r="R632" s="89"/>
      <c r="T632" s="11" t="str">
        <f t="shared" si="129"/>
        <v>G</v>
      </c>
    </row>
    <row r="633" spans="2:20" x14ac:dyDescent="0.25">
      <c r="B633" s="90"/>
      <c r="C633" s="102" t="str">
        <f t="shared" si="126"/>
        <v>FI-JR-54-F-BG</v>
      </c>
      <c r="D633" s="91" t="s">
        <v>1096</v>
      </c>
      <c r="E633" s="103" t="s">
        <v>349</v>
      </c>
      <c r="F633" s="93"/>
      <c r="G633" s="116">
        <v>0</v>
      </c>
      <c r="H633" s="105" t="str">
        <f t="shared" si="127"/>
        <v>FI-JR-54-F-MZ</v>
      </c>
      <c r="I633" s="91" t="s">
        <v>1104</v>
      </c>
      <c r="J633" s="92" t="s">
        <v>461</v>
      </c>
      <c r="K633" s="116">
        <v>0</v>
      </c>
      <c r="L633" s="105" t="str">
        <f t="shared" si="128"/>
        <v>FI-JR-54-F-VN</v>
      </c>
      <c r="M633" s="91" t="s">
        <v>1114</v>
      </c>
      <c r="N633" s="92" t="s">
        <v>1313</v>
      </c>
      <c r="O633" s="99">
        <v>0</v>
      </c>
      <c r="P633" s="95"/>
      <c r="R633" s="89"/>
      <c r="T633" s="11" t="str">
        <f t="shared" si="129"/>
        <v>G</v>
      </c>
    </row>
    <row r="634" spans="2:20" x14ac:dyDescent="0.25">
      <c r="B634" s="90"/>
      <c r="C634" s="102" t="str">
        <f t="shared" si="126"/>
        <v>FI-JR-54-F-BF</v>
      </c>
      <c r="D634" s="91" t="s">
        <v>1097</v>
      </c>
      <c r="E634" s="103" t="s">
        <v>350</v>
      </c>
      <c r="F634" s="93"/>
      <c r="G634" s="116">
        <v>0</v>
      </c>
      <c r="H634" s="105" t="str">
        <f t="shared" si="127"/>
        <v>FI-JR-54-F-MM</v>
      </c>
      <c r="I634" s="91" t="s">
        <v>1105</v>
      </c>
      <c r="J634" s="92" t="s">
        <v>462</v>
      </c>
      <c r="K634" s="116">
        <v>0</v>
      </c>
      <c r="L634" s="105" t="str">
        <f t="shared" si="128"/>
        <v>FI-JR-54-F-VI</v>
      </c>
      <c r="M634" s="91" t="s">
        <v>1319</v>
      </c>
      <c r="N634" s="92" t="s">
        <v>1314</v>
      </c>
      <c r="O634" s="99">
        <v>0</v>
      </c>
      <c r="P634" s="95"/>
      <c r="R634" s="89"/>
      <c r="T634" s="11" t="str">
        <f t="shared" si="129"/>
        <v>G</v>
      </c>
    </row>
    <row r="635" spans="2:20" x14ac:dyDescent="0.25">
      <c r="B635" s="90"/>
      <c r="C635" s="102" t="str">
        <f t="shared" si="126"/>
        <v>FI-JR-54-F-CM</v>
      </c>
      <c r="D635" s="91" t="s">
        <v>1098</v>
      </c>
      <c r="E635" s="103" t="s">
        <v>353</v>
      </c>
      <c r="F635" s="93"/>
      <c r="G635" s="116">
        <v>0</v>
      </c>
      <c r="H635" s="105" t="str">
        <f t="shared" si="127"/>
        <v>FI-JR-54-F-NA</v>
      </c>
      <c r="I635" s="91" t="s">
        <v>1106</v>
      </c>
      <c r="J635" s="92" t="s">
        <v>463</v>
      </c>
      <c r="K635" s="116">
        <v>0</v>
      </c>
      <c r="L635" s="105" t="str">
        <f t="shared" si="128"/>
        <v>FI-JR-54-F-YE</v>
      </c>
      <c r="M635" s="91" t="s">
        <v>1115</v>
      </c>
      <c r="N635" s="92" t="s">
        <v>553</v>
      </c>
      <c r="O635" s="99">
        <v>0</v>
      </c>
      <c r="P635" s="95"/>
      <c r="R635" s="89"/>
      <c r="T635" s="11" t="str">
        <f t="shared" si="129"/>
        <v>G</v>
      </c>
    </row>
    <row r="636" spans="2:20" ht="38.25" x14ac:dyDescent="0.25">
      <c r="B636" s="90"/>
      <c r="C636" s="102" t="str">
        <f t="shared" si="126"/>
        <v>FI-JR-54-F-CD</v>
      </c>
      <c r="D636" s="91" t="s">
        <v>1099</v>
      </c>
      <c r="E636" s="103" t="s">
        <v>366</v>
      </c>
      <c r="F636" s="93"/>
      <c r="G636" s="116">
        <v>0</v>
      </c>
      <c r="H636" s="105" t="str">
        <f t="shared" si="127"/>
        <v>FI-JR-54-F-NP</v>
      </c>
      <c r="I636" s="91" t="s">
        <v>1318</v>
      </c>
      <c r="J636" s="92" t="s">
        <v>465</v>
      </c>
      <c r="K636" s="116">
        <v>0</v>
      </c>
      <c r="L636" s="95"/>
      <c r="M636" s="95"/>
      <c r="N636" s="95"/>
      <c r="O636" s="95"/>
      <c r="P636" s="95"/>
      <c r="R636" s="89"/>
      <c r="T636" s="11" t="str">
        <f t="shared" ref="T636:T641" si="130">IF(OR(AND(OR(ISBLANK(G636),ISBLANK(K636)),$R$626&gt;0),AND($R$626&lt;=0,OR(OR(G636&lt;&gt;0,K636&lt;&gt;0)))),"R","G")</f>
        <v>G</v>
      </c>
    </row>
    <row r="637" spans="2:20" x14ac:dyDescent="0.25">
      <c r="B637" s="90"/>
      <c r="C637" s="102" t="str">
        <f t="shared" si="126"/>
        <v>FI-JR-54-F-CI</v>
      </c>
      <c r="D637" s="91" t="s">
        <v>1091</v>
      </c>
      <c r="E637" s="103" t="s">
        <v>369</v>
      </c>
      <c r="F637" s="93"/>
      <c r="G637" s="116">
        <v>0</v>
      </c>
      <c r="H637" s="105" t="str">
        <f t="shared" si="127"/>
        <v>FI-JR-54-F-NG</v>
      </c>
      <c r="I637" s="91" t="s">
        <v>1107</v>
      </c>
      <c r="J637" s="92" t="s">
        <v>472</v>
      </c>
      <c r="K637" s="116">
        <v>0</v>
      </c>
      <c r="L637" s="95"/>
      <c r="M637" s="95"/>
      <c r="N637" s="95"/>
      <c r="O637" s="95"/>
      <c r="P637" s="95"/>
      <c r="R637" s="89"/>
      <c r="T637" s="11" t="str">
        <f t="shared" si="130"/>
        <v>G</v>
      </c>
    </row>
    <row r="638" spans="2:20" x14ac:dyDescent="0.25">
      <c r="B638" s="90"/>
      <c r="C638" s="102" t="str">
        <f t="shared" si="126"/>
        <v>FI-JR-54-F-HT</v>
      </c>
      <c r="D638" s="91" t="s">
        <v>1100</v>
      </c>
      <c r="E638" s="103" t="s">
        <v>408</v>
      </c>
      <c r="F638" s="93"/>
      <c r="G638" s="116">
        <v>0</v>
      </c>
      <c r="H638" s="105" t="str">
        <f t="shared" si="127"/>
        <v>FI-JR-54-F-RU</v>
      </c>
      <c r="I638" s="91" t="s">
        <v>1321</v>
      </c>
      <c r="J638" s="92" t="s">
        <v>1320</v>
      </c>
      <c r="K638" s="116">
        <v>0</v>
      </c>
      <c r="L638" s="95"/>
      <c r="M638" s="95"/>
      <c r="N638" s="95"/>
      <c r="O638" s="95"/>
      <c r="P638" s="95"/>
      <c r="R638" s="89"/>
      <c r="T638" s="11" t="str">
        <f t="shared" si="130"/>
        <v>G</v>
      </c>
    </row>
    <row r="639" spans="2:20" ht="25.5" x14ac:dyDescent="0.25">
      <c r="B639" s="90"/>
      <c r="C639" s="102" t="str">
        <f t="shared" si="126"/>
        <v>FI-JR-54-F-IR</v>
      </c>
      <c r="D639" s="91" t="s">
        <v>912</v>
      </c>
      <c r="E639" s="103" t="s">
        <v>417</v>
      </c>
      <c r="F639" s="93"/>
      <c r="G639" s="116">
        <v>0</v>
      </c>
      <c r="H639" s="105" t="str">
        <f t="shared" si="127"/>
        <v>FI-JR-54-F-ZA</v>
      </c>
      <c r="I639" s="91" t="s">
        <v>1108</v>
      </c>
      <c r="J639" s="92" t="s">
        <v>513</v>
      </c>
      <c r="K639" s="116">
        <v>0</v>
      </c>
      <c r="L639" s="95"/>
      <c r="M639" s="95"/>
      <c r="N639" s="95"/>
      <c r="O639" s="95"/>
      <c r="P639" s="95"/>
      <c r="R639" s="89"/>
      <c r="T639" s="11" t="str">
        <f t="shared" si="130"/>
        <v>G</v>
      </c>
    </row>
    <row r="640" spans="2:20" x14ac:dyDescent="0.25">
      <c r="B640" s="90"/>
      <c r="C640" s="102" t="str">
        <f t="shared" si="126"/>
        <v>FI-JR-54-F-KE</v>
      </c>
      <c r="D640" s="91" t="s">
        <v>1101</v>
      </c>
      <c r="E640" s="103" t="s">
        <v>426</v>
      </c>
      <c r="F640" s="93"/>
      <c r="G640" s="116">
        <v>0</v>
      </c>
      <c r="H640" s="105" t="str">
        <f t="shared" si="127"/>
        <v>FI-JR-54-F-SS</v>
      </c>
      <c r="I640" s="91" t="s">
        <v>1089</v>
      </c>
      <c r="J640" s="92" t="s">
        <v>1088</v>
      </c>
      <c r="K640" s="99">
        <v>0</v>
      </c>
      <c r="L640" s="94"/>
      <c r="M640" s="95"/>
      <c r="N640" s="95"/>
      <c r="O640" s="95"/>
      <c r="P640" s="95"/>
      <c r="R640" s="89"/>
      <c r="T640" s="11" t="str">
        <f t="shared" si="130"/>
        <v>G</v>
      </c>
    </row>
    <row r="641" spans="2:20" ht="25.5" x14ac:dyDescent="0.25">
      <c r="B641" s="90"/>
      <c r="C641" s="102" t="str">
        <f t="shared" si="126"/>
        <v>FI-JR-54-F-KP</v>
      </c>
      <c r="D641" s="91" t="s">
        <v>1090</v>
      </c>
      <c r="E641" s="103" t="s">
        <v>428</v>
      </c>
      <c r="F641" s="96"/>
      <c r="G641" s="116">
        <v>0</v>
      </c>
      <c r="H641" s="105" t="str">
        <f t="shared" si="127"/>
        <v>FI-JR-54-F-SY</v>
      </c>
      <c r="I641" s="91" t="s">
        <v>1109</v>
      </c>
      <c r="J641" s="92" t="s">
        <v>523</v>
      </c>
      <c r="K641" s="99">
        <v>0</v>
      </c>
      <c r="L641" s="94"/>
      <c r="M641" s="95"/>
      <c r="N641" s="95"/>
      <c r="O641" s="95"/>
      <c r="P641" s="95"/>
      <c r="R641" s="89"/>
      <c r="T641" s="11" t="str">
        <f t="shared" si="130"/>
        <v>G</v>
      </c>
    </row>
    <row r="642" spans="2:20" x14ac:dyDescent="0.25">
      <c r="E642" s="52"/>
      <c r="F642" s="52"/>
      <c r="G642" s="52"/>
      <c r="H642" s="52"/>
      <c r="I642" s="52"/>
      <c r="J642" s="52"/>
      <c r="K642" s="52"/>
      <c r="L642" s="52"/>
      <c r="M642" s="52"/>
      <c r="N642" s="52"/>
      <c r="O642" s="52"/>
      <c r="P642" s="52"/>
    </row>
    <row r="643" spans="2:20" ht="37.5" customHeight="1" x14ac:dyDescent="0.25">
      <c r="B643" s="15" t="s">
        <v>768</v>
      </c>
      <c r="D643" s="186" t="s">
        <v>1164</v>
      </c>
      <c r="E643" s="186"/>
      <c r="F643" s="186"/>
      <c r="G643" s="186"/>
      <c r="H643" s="186"/>
      <c r="I643" s="186"/>
      <c r="J643" s="186"/>
      <c r="K643" s="186"/>
      <c r="L643" s="186"/>
      <c r="M643" s="186"/>
      <c r="N643" s="186"/>
      <c r="O643" s="186"/>
      <c r="P643" s="52"/>
      <c r="R643" s="10"/>
    </row>
    <row r="644" spans="2:20" ht="52.5" customHeight="1" x14ac:dyDescent="0.25">
      <c r="D644" s="190" t="s">
        <v>1349</v>
      </c>
      <c r="E644" s="190"/>
      <c r="F644" s="190"/>
      <c r="G644" s="190"/>
      <c r="H644" s="190"/>
      <c r="I644" s="190"/>
      <c r="J644" s="190"/>
      <c r="K644" s="190"/>
      <c r="L644" s="190"/>
      <c r="M644" s="190"/>
      <c r="N644" s="190"/>
      <c r="O644" s="190"/>
      <c r="P644" s="190"/>
      <c r="R644" s="101"/>
    </row>
    <row r="645" spans="2:20" ht="15" customHeight="1" x14ac:dyDescent="0.25">
      <c r="B645" s="46" t="str">
        <f>B643&amp;"-M"</f>
        <v>FI-JR-56-M</v>
      </c>
      <c r="C645" s="46"/>
      <c r="D645" s="84"/>
      <c r="E645" s="189" t="s">
        <v>448</v>
      </c>
      <c r="F645" s="189"/>
      <c r="G645" s="189"/>
      <c r="H645" s="189"/>
      <c r="I645" s="189"/>
      <c r="J645" s="189"/>
      <c r="K645" s="189"/>
      <c r="L645" s="189"/>
      <c r="M645" s="189"/>
      <c r="N645" s="189"/>
      <c r="O645" s="189"/>
      <c r="P645" s="52"/>
      <c r="R645" s="67"/>
      <c r="T645" s="11" t="str">
        <f>IF(OR(AND(ISBLANK(R645),Guarantees="Yes"),AND(Guarantees&lt;&gt;"Yes",NOT(ISBLANK(R645)))),"R","G")</f>
        <v>G</v>
      </c>
    </row>
    <row r="646" spans="2:20" ht="15" customHeight="1" x14ac:dyDescent="0.25">
      <c r="B646" s="46" t="str">
        <f>B643&amp;"-E"</f>
        <v>FI-JR-56-E</v>
      </c>
      <c r="C646" s="46"/>
      <c r="D646" s="84"/>
      <c r="E646" s="189" t="s">
        <v>1084</v>
      </c>
      <c r="F646" s="189"/>
      <c r="G646" s="189"/>
      <c r="H646" s="189"/>
      <c r="I646" s="189"/>
      <c r="J646" s="189"/>
      <c r="K646" s="189"/>
      <c r="L646" s="189"/>
      <c r="M646" s="189"/>
      <c r="N646" s="189"/>
      <c r="O646" s="189"/>
      <c r="P646" s="52"/>
      <c r="R646" s="67"/>
      <c r="T646" s="11" t="str">
        <f>IF(OR(AND(ISBLANK(R646),Guarantees="Yes"),AND(Guarantees&lt;&gt;"Yes",NOT(ISBLANK(R646)))),"R","G")</f>
        <v>G</v>
      </c>
    </row>
    <row r="647" spans="2:20" ht="15" customHeight="1" x14ac:dyDescent="0.25">
      <c r="B647" s="46" t="str">
        <f>B643&amp;"-N"</f>
        <v>FI-JR-56-N</v>
      </c>
      <c r="C647" s="46"/>
      <c r="D647" s="84"/>
      <c r="E647" s="189" t="s">
        <v>1085</v>
      </c>
      <c r="F647" s="189"/>
      <c r="G647" s="189"/>
      <c r="H647" s="189"/>
      <c r="I647" s="189"/>
      <c r="J647" s="189"/>
      <c r="K647" s="189"/>
      <c r="L647" s="189"/>
      <c r="M647" s="189"/>
      <c r="N647" s="189"/>
      <c r="O647" s="189"/>
      <c r="P647" s="52"/>
      <c r="R647" s="67"/>
      <c r="T647" s="11" t="str">
        <f>IF(OR(AND(ISBLANK(R647),Guarantees="Yes"),AND(Guarantees&lt;&gt;"Yes",NOT(ISBLANK(R647)))),"R","G")</f>
        <v>G</v>
      </c>
    </row>
    <row r="648" spans="2:20" ht="27" customHeight="1" x14ac:dyDescent="0.25">
      <c r="B648" s="46" t="str">
        <f>B643&amp;"-F"</f>
        <v>FI-JR-56-F</v>
      </c>
      <c r="C648" s="46"/>
      <c r="D648" s="84"/>
      <c r="E648" s="191" t="s">
        <v>1086</v>
      </c>
      <c r="F648" s="191"/>
      <c r="G648" s="191"/>
      <c r="H648" s="191"/>
      <c r="I648" s="191"/>
      <c r="J648" s="191"/>
      <c r="K648" s="191"/>
      <c r="L648" s="191"/>
      <c r="M648" s="191"/>
      <c r="N648" s="191"/>
      <c r="O648" s="191"/>
      <c r="P648" s="86"/>
      <c r="R648" s="67"/>
      <c r="T648" s="11" t="str">
        <f>IF(OR(AND(ISBLANK(R648),Guarantees="Yes"),AND(Guarantees&lt;&gt;"Yes",NOT(ISBLANK(R648)))),"R","G")</f>
        <v>G</v>
      </c>
    </row>
    <row r="649" spans="2:20" ht="9.75" customHeight="1" x14ac:dyDescent="0.25">
      <c r="B649" s="10"/>
      <c r="C649" s="10"/>
      <c r="D649" s="10"/>
      <c r="E649" s="10"/>
      <c r="F649" s="10"/>
      <c r="G649" s="10"/>
      <c r="H649" s="10"/>
      <c r="I649" s="10"/>
      <c r="J649" s="10"/>
      <c r="K649" s="10"/>
      <c r="L649" s="10"/>
      <c r="M649" s="10"/>
      <c r="N649" s="10"/>
      <c r="O649" s="10"/>
      <c r="P649" s="10"/>
      <c r="R649" s="10"/>
    </row>
    <row r="650" spans="2:20" ht="15" customHeight="1" x14ac:dyDescent="0.25">
      <c r="B650" s="87"/>
      <c r="C650" s="87"/>
      <c r="D650" s="192" t="str">
        <f>IF(R648=0,"",IF(SUM(G651:G663,K651:K663,O651:O657)=R648,"","The totals included next to each jurisdiction do not add up to "&amp;R648&amp;", please revise the figures."))</f>
        <v/>
      </c>
      <c r="E650" s="192"/>
      <c r="F650" s="192"/>
      <c r="G650" s="192"/>
      <c r="H650" s="192"/>
      <c r="I650" s="192"/>
      <c r="J650" s="192"/>
      <c r="K650" s="192"/>
      <c r="L650" s="192"/>
      <c r="M650" s="192"/>
      <c r="N650" s="192"/>
      <c r="O650" s="192"/>
      <c r="P650" s="88"/>
      <c r="R650" s="89"/>
      <c r="T650" s="11" t="str">
        <f>IF(D650="","G","R")</f>
        <v>G</v>
      </c>
    </row>
    <row r="651" spans="2:20" ht="25.5" x14ac:dyDescent="0.25">
      <c r="B651" s="90"/>
      <c r="C651" s="102" t="str">
        <f>$B$648&amp;"-"&amp;D651</f>
        <v>FI-JR-56-F-AF</v>
      </c>
      <c r="D651" s="91" t="s">
        <v>1093</v>
      </c>
      <c r="E651" s="103" t="s">
        <v>317</v>
      </c>
      <c r="F651" s="93"/>
      <c r="G651" s="116">
        <v>0</v>
      </c>
      <c r="H651" s="105" t="str">
        <f>$B$648&amp;"-"&amp;I651</f>
        <v>FI-JR-56-F-LA</v>
      </c>
      <c r="I651" s="91" t="s">
        <v>1317</v>
      </c>
      <c r="J651" s="92" t="s">
        <v>1312</v>
      </c>
      <c r="K651" s="116">
        <v>0</v>
      </c>
      <c r="L651" s="105" t="str">
        <f>$B$648&amp;"-"&amp;M651</f>
        <v>FI-JR-56-F-TZ</v>
      </c>
      <c r="M651" s="91" t="s">
        <v>1110</v>
      </c>
      <c r="N651" s="92" t="s">
        <v>526</v>
      </c>
      <c r="O651" s="99">
        <v>0</v>
      </c>
      <c r="P651" s="95"/>
      <c r="R651" s="89"/>
      <c r="T651" s="11" t="str">
        <f>IF(OR(AND(OR(ISBLANK(G651),ISBLANK(K651),ISBLANK(O651)),$R$648&gt;0),AND($R$648&lt;=0,OR(OR(G651&lt;&gt;0,K651&lt;&gt;0,O651&lt;&gt;0)))),"R","G")</f>
        <v>G</v>
      </c>
    </row>
    <row r="652" spans="2:20" x14ac:dyDescent="0.25">
      <c r="B652" s="90"/>
      <c r="C652" s="102" t="str">
        <f t="shared" ref="C652:C663" si="131">$B$648&amp;"-"&amp;D652</f>
        <v>FI-JR-56-F-DZ</v>
      </c>
      <c r="D652" s="91" t="s">
        <v>1094</v>
      </c>
      <c r="E652" s="103" t="s">
        <v>319</v>
      </c>
      <c r="F652" s="93"/>
      <c r="G652" s="116">
        <v>0</v>
      </c>
      <c r="H652" s="105" t="str">
        <f t="shared" ref="H652:H663" si="132">$B$648&amp;"-"&amp;I652</f>
        <v>FI-JR-56-F-LB</v>
      </c>
      <c r="I652" s="91" t="s">
        <v>1102</v>
      </c>
      <c r="J652" s="92" t="s">
        <v>434</v>
      </c>
      <c r="K652" s="116">
        <v>0</v>
      </c>
      <c r="L652" s="105" t="str">
        <f t="shared" ref="L652:L657" si="133">$B$648&amp;"-"&amp;M652</f>
        <v>FI-JR-56-F-TT</v>
      </c>
      <c r="M652" s="91" t="s">
        <v>1111</v>
      </c>
      <c r="N652" s="92" t="s">
        <v>532</v>
      </c>
      <c r="O652" s="99">
        <v>0</v>
      </c>
      <c r="P652" s="95"/>
      <c r="R652" s="89"/>
      <c r="T652" s="11" t="str">
        <f t="shared" ref="T652:T657" si="134">IF(OR(AND(OR(ISBLANK(G652),ISBLANK(K652),ISBLANK(O652)),$R$648&gt;0),AND($R$648&lt;=0,OR(OR(G652&lt;&gt;0,K652&lt;&gt;0,O652&lt;&gt;0)))),"R","G")</f>
        <v>G</v>
      </c>
    </row>
    <row r="653" spans="2:20" x14ac:dyDescent="0.25">
      <c r="B653" s="90"/>
      <c r="C653" s="102" t="str">
        <f t="shared" si="131"/>
        <v>FI-JR-56-F-AO</v>
      </c>
      <c r="D653" s="91" t="s">
        <v>1095</v>
      </c>
      <c r="E653" s="103" t="s">
        <v>322</v>
      </c>
      <c r="F653" s="93"/>
      <c r="G653" s="116">
        <v>0</v>
      </c>
      <c r="H653" s="105" t="str">
        <f t="shared" si="132"/>
        <v>FI-JR-56-F-ML</v>
      </c>
      <c r="I653" s="91" t="s">
        <v>1103</v>
      </c>
      <c r="J653" s="92" t="s">
        <v>447</v>
      </c>
      <c r="K653" s="116">
        <v>0</v>
      </c>
      <c r="L653" s="105" t="str">
        <f t="shared" si="133"/>
        <v>FI-JR-56-F-VU</v>
      </c>
      <c r="M653" s="91" t="s">
        <v>1112</v>
      </c>
      <c r="N653" s="92" t="s">
        <v>546</v>
      </c>
      <c r="O653" s="99">
        <v>0</v>
      </c>
      <c r="P653" s="95"/>
      <c r="R653" s="89"/>
      <c r="T653" s="11" t="str">
        <f t="shared" si="134"/>
        <v>G</v>
      </c>
    </row>
    <row r="654" spans="2:20" x14ac:dyDescent="0.25">
      <c r="B654" s="90"/>
      <c r="C654" s="102" t="str">
        <f t="shared" si="131"/>
        <v>FI-JR-56-F-BO</v>
      </c>
      <c r="D654" s="91" t="s">
        <v>1316</v>
      </c>
      <c r="E654" s="103" t="s">
        <v>342</v>
      </c>
      <c r="F654" s="93"/>
      <c r="G654" s="116">
        <v>0</v>
      </c>
      <c r="H654" s="105" t="str">
        <f t="shared" si="132"/>
        <v>FI-JR-56-F-MN</v>
      </c>
      <c r="I654" s="91" t="s">
        <v>1315</v>
      </c>
      <c r="J654" s="92" t="s">
        <v>457</v>
      </c>
      <c r="K654" s="116">
        <v>0</v>
      </c>
      <c r="L654" s="105" t="str">
        <f t="shared" si="133"/>
        <v>FI-JR-56-F-VE</v>
      </c>
      <c r="M654" s="91" t="s">
        <v>1113</v>
      </c>
      <c r="N654" s="92" t="s">
        <v>547</v>
      </c>
      <c r="O654" s="99">
        <v>0</v>
      </c>
      <c r="P654" s="95"/>
      <c r="R654" s="89"/>
      <c r="T654" s="11" t="str">
        <f t="shared" si="134"/>
        <v>G</v>
      </c>
    </row>
    <row r="655" spans="2:20" x14ac:dyDescent="0.25">
      <c r="B655" s="90"/>
      <c r="C655" s="102" t="str">
        <f t="shared" si="131"/>
        <v>FI-JR-56-F-BG</v>
      </c>
      <c r="D655" s="91" t="s">
        <v>1096</v>
      </c>
      <c r="E655" s="103" t="s">
        <v>349</v>
      </c>
      <c r="F655" s="93"/>
      <c r="G655" s="116">
        <v>0</v>
      </c>
      <c r="H655" s="105" t="str">
        <f t="shared" si="132"/>
        <v>FI-JR-56-F-MZ</v>
      </c>
      <c r="I655" s="91" t="s">
        <v>1104</v>
      </c>
      <c r="J655" s="92" t="s">
        <v>461</v>
      </c>
      <c r="K655" s="116">
        <v>0</v>
      </c>
      <c r="L655" s="105" t="str">
        <f t="shared" si="133"/>
        <v>FI-JR-56-F-VN</v>
      </c>
      <c r="M655" s="91" t="s">
        <v>1114</v>
      </c>
      <c r="N655" s="92" t="s">
        <v>1313</v>
      </c>
      <c r="O655" s="99">
        <v>0</v>
      </c>
      <c r="P655" s="95"/>
      <c r="R655" s="89"/>
      <c r="T655" s="11" t="str">
        <f t="shared" si="134"/>
        <v>G</v>
      </c>
    </row>
    <row r="656" spans="2:20" x14ac:dyDescent="0.25">
      <c r="B656" s="90"/>
      <c r="C656" s="102" t="str">
        <f t="shared" si="131"/>
        <v>FI-JR-56-F-BF</v>
      </c>
      <c r="D656" s="91" t="s">
        <v>1097</v>
      </c>
      <c r="E656" s="103" t="s">
        <v>350</v>
      </c>
      <c r="F656" s="93"/>
      <c r="G656" s="116">
        <v>0</v>
      </c>
      <c r="H656" s="105" t="str">
        <f t="shared" si="132"/>
        <v>FI-JR-56-F-MM</v>
      </c>
      <c r="I656" s="91" t="s">
        <v>1105</v>
      </c>
      <c r="J656" s="92" t="s">
        <v>462</v>
      </c>
      <c r="K656" s="116">
        <v>0</v>
      </c>
      <c r="L656" s="105" t="str">
        <f t="shared" si="133"/>
        <v>FI-JR-56-F-VI</v>
      </c>
      <c r="M656" s="91" t="s">
        <v>1319</v>
      </c>
      <c r="N656" s="92" t="s">
        <v>1314</v>
      </c>
      <c r="O656" s="99">
        <v>0</v>
      </c>
      <c r="P656" s="95"/>
      <c r="R656" s="89"/>
      <c r="T656" s="11" t="str">
        <f t="shared" si="134"/>
        <v>G</v>
      </c>
    </row>
    <row r="657" spans="1:20" x14ac:dyDescent="0.25">
      <c r="B657" s="90"/>
      <c r="C657" s="102" t="str">
        <f t="shared" si="131"/>
        <v>FI-JR-56-F-CM</v>
      </c>
      <c r="D657" s="91" t="s">
        <v>1098</v>
      </c>
      <c r="E657" s="103" t="s">
        <v>353</v>
      </c>
      <c r="F657" s="93"/>
      <c r="G657" s="116">
        <v>0</v>
      </c>
      <c r="H657" s="105" t="str">
        <f t="shared" si="132"/>
        <v>FI-JR-56-F-NA</v>
      </c>
      <c r="I657" s="91" t="s">
        <v>1106</v>
      </c>
      <c r="J657" s="92" t="s">
        <v>463</v>
      </c>
      <c r="K657" s="116">
        <v>0</v>
      </c>
      <c r="L657" s="105" t="str">
        <f t="shared" si="133"/>
        <v>FI-JR-56-F-YE</v>
      </c>
      <c r="M657" s="91" t="s">
        <v>1115</v>
      </c>
      <c r="N657" s="92" t="s">
        <v>553</v>
      </c>
      <c r="O657" s="99">
        <v>0</v>
      </c>
      <c r="P657" s="95"/>
      <c r="R657" s="89"/>
      <c r="T657" s="11" t="str">
        <f t="shared" si="134"/>
        <v>G</v>
      </c>
    </row>
    <row r="658" spans="1:20" ht="38.25" x14ac:dyDescent="0.25">
      <c r="B658" s="90"/>
      <c r="C658" s="102" t="str">
        <f t="shared" si="131"/>
        <v>FI-JR-56-F-CD</v>
      </c>
      <c r="D658" s="91" t="s">
        <v>1099</v>
      </c>
      <c r="E658" s="103" t="s">
        <v>366</v>
      </c>
      <c r="F658" s="93"/>
      <c r="G658" s="116">
        <v>0</v>
      </c>
      <c r="H658" s="105" t="str">
        <f t="shared" si="132"/>
        <v>FI-JR-56-F-NP</v>
      </c>
      <c r="I658" s="91" t="s">
        <v>1318</v>
      </c>
      <c r="J658" s="92" t="s">
        <v>465</v>
      </c>
      <c r="K658" s="116">
        <v>0</v>
      </c>
      <c r="L658" s="95"/>
      <c r="M658" s="95"/>
      <c r="N658" s="95"/>
      <c r="O658" s="95"/>
      <c r="P658" s="95"/>
      <c r="R658" s="89"/>
      <c r="T658" s="11" t="str">
        <f t="shared" ref="T658:T663" si="135">IF(OR(AND(OR(ISBLANK(G658),ISBLANK(K658)),$R$648&gt;0),AND($R$648&lt;=0,OR(OR(G658&lt;&gt;0,K658&lt;&gt;0)))),"R","G")</f>
        <v>G</v>
      </c>
    </row>
    <row r="659" spans="1:20" x14ac:dyDescent="0.25">
      <c r="B659" s="90"/>
      <c r="C659" s="102" t="str">
        <f t="shared" si="131"/>
        <v>FI-JR-56-F-CI</v>
      </c>
      <c r="D659" s="91" t="s">
        <v>1091</v>
      </c>
      <c r="E659" s="103" t="s">
        <v>369</v>
      </c>
      <c r="F659" s="93"/>
      <c r="G659" s="116">
        <v>0</v>
      </c>
      <c r="H659" s="105" t="str">
        <f t="shared" si="132"/>
        <v>FI-JR-56-F-NG</v>
      </c>
      <c r="I659" s="91" t="s">
        <v>1107</v>
      </c>
      <c r="J659" s="92" t="s">
        <v>472</v>
      </c>
      <c r="K659" s="116">
        <v>0</v>
      </c>
      <c r="L659" s="95"/>
      <c r="M659" s="95"/>
      <c r="N659" s="95"/>
      <c r="O659" s="95"/>
      <c r="P659" s="95"/>
      <c r="R659" s="89"/>
      <c r="T659" s="11" t="str">
        <f t="shared" si="135"/>
        <v>G</v>
      </c>
    </row>
    <row r="660" spans="1:20" x14ac:dyDescent="0.25">
      <c r="B660" s="90"/>
      <c r="C660" s="102" t="str">
        <f t="shared" si="131"/>
        <v>FI-JR-56-F-HT</v>
      </c>
      <c r="D660" s="91" t="s">
        <v>1100</v>
      </c>
      <c r="E660" s="103" t="s">
        <v>408</v>
      </c>
      <c r="F660" s="93"/>
      <c r="G660" s="116">
        <v>0</v>
      </c>
      <c r="H660" s="105" t="str">
        <f t="shared" si="132"/>
        <v>FI-JR-56-F-RU</v>
      </c>
      <c r="I660" s="91" t="s">
        <v>1321</v>
      </c>
      <c r="J660" s="92" t="s">
        <v>1320</v>
      </c>
      <c r="K660" s="116">
        <v>0</v>
      </c>
      <c r="L660" s="95"/>
      <c r="M660" s="95"/>
      <c r="N660" s="95"/>
      <c r="O660" s="95"/>
      <c r="P660" s="95"/>
      <c r="R660" s="89"/>
      <c r="T660" s="11" t="str">
        <f t="shared" si="135"/>
        <v>G</v>
      </c>
    </row>
    <row r="661" spans="1:20" ht="25.5" x14ac:dyDescent="0.25">
      <c r="B661" s="90"/>
      <c r="C661" s="102" t="str">
        <f t="shared" si="131"/>
        <v>FI-JR-56-F-IR</v>
      </c>
      <c r="D661" s="91" t="s">
        <v>912</v>
      </c>
      <c r="E661" s="103" t="s">
        <v>417</v>
      </c>
      <c r="F661" s="93"/>
      <c r="G661" s="116">
        <v>0</v>
      </c>
      <c r="H661" s="105" t="str">
        <f t="shared" si="132"/>
        <v>FI-JR-56-F-ZA</v>
      </c>
      <c r="I661" s="91" t="s">
        <v>1108</v>
      </c>
      <c r="J661" s="92" t="s">
        <v>513</v>
      </c>
      <c r="K661" s="116">
        <v>0</v>
      </c>
      <c r="L661" s="95"/>
      <c r="M661" s="95"/>
      <c r="N661" s="95"/>
      <c r="O661" s="95"/>
      <c r="P661" s="95"/>
      <c r="R661" s="89"/>
      <c r="T661" s="11" t="str">
        <f t="shared" si="135"/>
        <v>G</v>
      </c>
    </row>
    <row r="662" spans="1:20" x14ac:dyDescent="0.25">
      <c r="B662" s="90"/>
      <c r="C662" s="102" t="str">
        <f t="shared" si="131"/>
        <v>FI-JR-56-F-KE</v>
      </c>
      <c r="D662" s="91" t="s">
        <v>1101</v>
      </c>
      <c r="E662" s="103" t="s">
        <v>426</v>
      </c>
      <c r="F662" s="93"/>
      <c r="G662" s="116">
        <v>0</v>
      </c>
      <c r="H662" s="105" t="str">
        <f t="shared" si="132"/>
        <v>FI-JR-56-F-SS</v>
      </c>
      <c r="I662" s="91" t="s">
        <v>1089</v>
      </c>
      <c r="J662" s="92" t="s">
        <v>1088</v>
      </c>
      <c r="K662" s="99">
        <v>0</v>
      </c>
      <c r="L662" s="94"/>
      <c r="M662" s="95"/>
      <c r="N662" s="95"/>
      <c r="O662" s="95"/>
      <c r="P662" s="95"/>
      <c r="R662" s="89"/>
      <c r="T662" s="11" t="str">
        <f t="shared" si="135"/>
        <v>G</v>
      </c>
    </row>
    <row r="663" spans="1:20" ht="25.5" x14ac:dyDescent="0.25">
      <c r="B663" s="90"/>
      <c r="C663" s="102" t="str">
        <f t="shared" si="131"/>
        <v>FI-JR-56-F-KP</v>
      </c>
      <c r="D663" s="91" t="s">
        <v>1090</v>
      </c>
      <c r="E663" s="103" t="s">
        <v>428</v>
      </c>
      <c r="F663" s="96"/>
      <c r="G663" s="116">
        <v>0</v>
      </c>
      <c r="H663" s="105" t="str">
        <f t="shared" si="132"/>
        <v>FI-JR-56-F-SY</v>
      </c>
      <c r="I663" s="91" t="s">
        <v>1109</v>
      </c>
      <c r="J663" s="92" t="s">
        <v>523</v>
      </c>
      <c r="K663" s="99">
        <v>0</v>
      </c>
      <c r="L663" s="94"/>
      <c r="M663" s="95"/>
      <c r="N663" s="95"/>
      <c r="O663" s="95"/>
      <c r="P663" s="95"/>
      <c r="R663" s="89"/>
      <c r="T663" s="11" t="str">
        <f t="shared" si="135"/>
        <v>G</v>
      </c>
    </row>
    <row r="664" spans="1:20" x14ac:dyDescent="0.25">
      <c r="E664" s="52"/>
      <c r="F664" s="52"/>
      <c r="G664" s="52"/>
      <c r="H664" s="52"/>
      <c r="I664" s="52"/>
      <c r="J664" s="52"/>
      <c r="K664" s="52"/>
      <c r="L664" s="52"/>
      <c r="M664" s="52"/>
      <c r="N664" s="52"/>
      <c r="O664" s="52"/>
      <c r="P664" s="52"/>
    </row>
    <row r="665" spans="1:20" ht="7.35" customHeight="1" x14ac:dyDescent="0.25">
      <c r="B665" s="71"/>
      <c r="C665" s="71"/>
      <c r="D665" s="15"/>
      <c r="E665" s="15"/>
      <c r="F665" s="15"/>
      <c r="G665" s="15"/>
      <c r="H665" s="15"/>
      <c r="I665" s="15"/>
      <c r="J665" s="15"/>
      <c r="K665" s="15"/>
      <c r="L665" s="15"/>
      <c r="M665" s="72"/>
      <c r="N665" s="72"/>
      <c r="O665" s="72"/>
      <c r="P665" s="72"/>
      <c r="Q665" s="73"/>
      <c r="R665" s="74"/>
    </row>
    <row r="666" spans="1:20" ht="7.15" customHeight="1" x14ac:dyDescent="0.25">
      <c r="A666" s="75"/>
      <c r="B666" s="76"/>
      <c r="C666" s="76"/>
      <c r="D666" s="77"/>
      <c r="E666" s="77"/>
      <c r="F666" s="77"/>
      <c r="G666" s="77"/>
      <c r="H666" s="77"/>
      <c r="I666" s="77"/>
      <c r="J666" s="77"/>
      <c r="K666" s="77"/>
      <c r="L666" s="77"/>
      <c r="M666" s="77"/>
      <c r="N666" s="77"/>
      <c r="O666" s="77"/>
      <c r="P666" s="77"/>
      <c r="Q666" s="75"/>
      <c r="R666" s="78"/>
      <c r="S666" s="75"/>
      <c r="T666" s="12"/>
    </row>
    <row r="667" spans="1:20" ht="6.75" customHeight="1" x14ac:dyDescent="0.25">
      <c r="B667" s="71"/>
      <c r="C667" s="71"/>
      <c r="D667" s="15"/>
      <c r="E667" s="15"/>
      <c r="F667" s="15"/>
      <c r="G667" s="15"/>
      <c r="H667" s="15"/>
      <c r="I667" s="15"/>
      <c r="J667" s="15"/>
      <c r="K667" s="15"/>
      <c r="L667" s="15"/>
      <c r="M667" s="15"/>
      <c r="N667" s="15"/>
      <c r="O667" s="15"/>
      <c r="P667" s="15"/>
      <c r="R667" s="74"/>
    </row>
    <row r="668" spans="1:20" ht="19.5" thickBot="1" x14ac:dyDescent="0.3">
      <c r="B668" s="38" t="s">
        <v>184</v>
      </c>
      <c r="C668" s="38"/>
      <c r="D668" s="39" t="s">
        <v>1165</v>
      </c>
      <c r="E668" s="40"/>
      <c r="F668" s="40"/>
      <c r="G668" s="40"/>
      <c r="H668" s="40"/>
      <c r="I668" s="40"/>
      <c r="J668" s="40"/>
      <c r="K668" s="40"/>
      <c r="L668" s="40"/>
      <c r="M668" s="40"/>
      <c r="N668" s="40"/>
      <c r="O668" s="40"/>
      <c r="P668" s="40"/>
      <c r="Q668" s="37"/>
      <c r="R668" s="42"/>
      <c r="S668" s="37"/>
    </row>
    <row r="669" spans="1:20" x14ac:dyDescent="0.25">
      <c r="E669" s="52"/>
      <c r="F669" s="52"/>
      <c r="G669" s="52"/>
      <c r="H669" s="52"/>
      <c r="I669" s="52"/>
      <c r="J669" s="52"/>
      <c r="K669" s="52"/>
      <c r="L669" s="52"/>
      <c r="M669" s="52"/>
      <c r="N669" s="52"/>
      <c r="O669" s="52"/>
      <c r="P669" s="52"/>
    </row>
    <row r="670" spans="1:20" ht="37.5" customHeight="1" x14ac:dyDescent="0.25">
      <c r="D670" s="186" t="s">
        <v>1323</v>
      </c>
      <c r="E670" s="186"/>
      <c r="F670" s="186"/>
      <c r="G670" s="186"/>
      <c r="H670" s="186"/>
      <c r="I670" s="186"/>
      <c r="J670" s="186"/>
      <c r="K670" s="186"/>
      <c r="L670" s="186"/>
      <c r="M670" s="186"/>
      <c r="N670" s="186"/>
      <c r="O670" s="186"/>
      <c r="P670" s="52"/>
      <c r="R670" s="10"/>
    </row>
    <row r="671" spans="1:20" x14ac:dyDescent="0.25">
      <c r="B671" s="15" t="s">
        <v>1251</v>
      </c>
      <c r="D671" s="195" t="s">
        <v>1033</v>
      </c>
      <c r="E671" s="195"/>
      <c r="F671" s="195"/>
      <c r="G671" s="195"/>
      <c r="H671" s="195"/>
      <c r="I671" s="195"/>
      <c r="J671" s="195"/>
      <c r="K671" s="195"/>
      <c r="L671" s="195"/>
      <c r="M671" s="195"/>
      <c r="N671" s="195"/>
      <c r="O671" s="195"/>
      <c r="P671" s="115"/>
      <c r="Q671" s="75"/>
      <c r="R671" s="10"/>
    </row>
    <row r="672" spans="1:20" ht="52.5" customHeight="1" x14ac:dyDescent="0.25">
      <c r="D672" s="190" t="s">
        <v>1349</v>
      </c>
      <c r="E672" s="190"/>
      <c r="F672" s="190"/>
      <c r="G672" s="190"/>
      <c r="H672" s="190"/>
      <c r="I672" s="190"/>
      <c r="J672" s="190"/>
      <c r="K672" s="190"/>
      <c r="L672" s="190"/>
      <c r="M672" s="190"/>
      <c r="N672" s="190"/>
      <c r="O672" s="190"/>
      <c r="P672" s="190"/>
      <c r="R672" s="101"/>
    </row>
    <row r="673" spans="2:20" ht="15" customHeight="1" x14ac:dyDescent="0.25">
      <c r="B673" s="46" t="str">
        <f>B671&amp;"-M"</f>
        <v>FI-JR-12-M</v>
      </c>
      <c r="C673" s="46"/>
      <c r="D673" s="84"/>
      <c r="E673" s="189" t="s">
        <v>448</v>
      </c>
      <c r="F673" s="189"/>
      <c r="G673" s="189"/>
      <c r="H673" s="189"/>
      <c r="I673" s="189"/>
      <c r="J673" s="189"/>
      <c r="K673" s="189"/>
      <c r="L673" s="189"/>
      <c r="M673" s="189"/>
      <c r="N673" s="189"/>
      <c r="O673" s="189"/>
      <c r="P673" s="52"/>
      <c r="R673" s="67"/>
      <c r="T673" s="11" t="str">
        <f>IF(OR(AND(ISBLANK(R673),CR.29&gt;0),AND(CR.29&lt;=0,NOT(ISBLANK(R673)))),"R","G")</f>
        <v>G</v>
      </c>
    </row>
    <row r="674" spans="2:20" ht="15" customHeight="1" x14ac:dyDescent="0.25">
      <c r="B674" s="46" t="str">
        <f>B671&amp;"-E"</f>
        <v>FI-JR-12-E</v>
      </c>
      <c r="C674" s="46"/>
      <c r="D674" s="84"/>
      <c r="E674" s="189" t="s">
        <v>1084</v>
      </c>
      <c r="F674" s="189"/>
      <c r="G674" s="189"/>
      <c r="H674" s="189"/>
      <c r="I674" s="189"/>
      <c r="J674" s="189"/>
      <c r="K674" s="189"/>
      <c r="L674" s="189"/>
      <c r="M674" s="189"/>
      <c r="N674" s="189"/>
      <c r="O674" s="189"/>
      <c r="P674" s="52"/>
      <c r="R674" s="67"/>
      <c r="T674" s="11" t="str">
        <f>IF(OR(AND(ISBLANK(R674),CR.29&gt;0),AND(CR.29&lt;=0,NOT(ISBLANK(R674)))),"R","G")</f>
        <v>G</v>
      </c>
    </row>
    <row r="675" spans="2:20" ht="15" customHeight="1" x14ac:dyDescent="0.25">
      <c r="B675" s="46" t="str">
        <f>B671&amp;"-N"</f>
        <v>FI-JR-12-N</v>
      </c>
      <c r="C675" s="46"/>
      <c r="D675" s="84"/>
      <c r="E675" s="189" t="s">
        <v>1085</v>
      </c>
      <c r="F675" s="189"/>
      <c r="G675" s="189"/>
      <c r="H675" s="189"/>
      <c r="I675" s="189"/>
      <c r="J675" s="189"/>
      <c r="K675" s="189"/>
      <c r="L675" s="189"/>
      <c r="M675" s="189"/>
      <c r="N675" s="189"/>
      <c r="O675" s="189"/>
      <c r="P675" s="52"/>
      <c r="R675" s="67"/>
      <c r="T675" s="11" t="str">
        <f>IF(OR(AND(ISBLANK(R675),CR.29&gt;0),AND(CR.29&lt;=0,NOT(ISBLANK(R675)))),"R","G")</f>
        <v>G</v>
      </c>
    </row>
    <row r="676" spans="2:20" ht="27" customHeight="1" x14ac:dyDescent="0.25">
      <c r="B676" s="46" t="str">
        <f>B671&amp;"-F"</f>
        <v>FI-JR-12-F</v>
      </c>
      <c r="C676" s="46"/>
      <c r="D676" s="84"/>
      <c r="E676" s="191" t="s">
        <v>1086</v>
      </c>
      <c r="F676" s="191"/>
      <c r="G676" s="191"/>
      <c r="H676" s="191"/>
      <c r="I676" s="191"/>
      <c r="J676" s="191"/>
      <c r="K676" s="191"/>
      <c r="L676" s="191"/>
      <c r="M676" s="191"/>
      <c r="N676" s="191"/>
      <c r="O676" s="191"/>
      <c r="P676" s="86"/>
      <c r="R676" s="67"/>
      <c r="T676" s="11" t="str">
        <f>IF(OR(AND(ISBLANK(R676),CR.29&gt;0),AND(CR.29&lt;=0,NOT(ISBLANK(R676)))),"R","G")</f>
        <v>G</v>
      </c>
    </row>
    <row r="677" spans="2:20" ht="9.75" customHeight="1" x14ac:dyDescent="0.25">
      <c r="B677" s="10"/>
      <c r="C677" s="10"/>
      <c r="D677" s="10"/>
      <c r="E677" s="10"/>
      <c r="F677" s="10"/>
      <c r="G677" s="10"/>
      <c r="H677" s="10"/>
      <c r="I677" s="10"/>
      <c r="J677" s="10"/>
      <c r="K677" s="10"/>
      <c r="L677" s="10"/>
      <c r="M677" s="10"/>
      <c r="N677" s="10"/>
      <c r="O677" s="10"/>
      <c r="P677" s="10"/>
      <c r="R677" s="10"/>
    </row>
    <row r="678" spans="2:20" ht="15" customHeight="1" x14ac:dyDescent="0.25">
      <c r="B678" s="87"/>
      <c r="C678" s="87"/>
      <c r="D678" s="192" t="str">
        <f>IF(R676=0,"",IF(SUM(G679:G691,K679:K691,O679:O685)=R676,"","The totals included next to each jurisdiction do not add up to "&amp;R676&amp;", please revise the figures."))</f>
        <v/>
      </c>
      <c r="E678" s="192"/>
      <c r="F678" s="192"/>
      <c r="G678" s="192"/>
      <c r="H678" s="192"/>
      <c r="I678" s="192"/>
      <c r="J678" s="192"/>
      <c r="K678" s="192"/>
      <c r="L678" s="192"/>
      <c r="M678" s="192"/>
      <c r="N678" s="192"/>
      <c r="O678" s="192"/>
      <c r="P678" s="88"/>
      <c r="R678" s="89"/>
      <c r="T678" s="11" t="str">
        <f>IF(D678="","G","R")</f>
        <v>G</v>
      </c>
    </row>
    <row r="679" spans="2:20" ht="25.5" x14ac:dyDescent="0.25">
      <c r="B679" s="90"/>
      <c r="C679" s="102" t="str">
        <f>$B$676&amp;"-"&amp;D679</f>
        <v>FI-JR-12-F-AF</v>
      </c>
      <c r="D679" s="91" t="s">
        <v>1093</v>
      </c>
      <c r="E679" s="103" t="s">
        <v>317</v>
      </c>
      <c r="F679" s="93"/>
      <c r="G679" s="116">
        <v>0</v>
      </c>
      <c r="H679" s="105" t="str">
        <f>$B$676&amp;"-"&amp;I679</f>
        <v>FI-JR-12-F-LA</v>
      </c>
      <c r="I679" s="91" t="s">
        <v>1317</v>
      </c>
      <c r="J679" s="92" t="s">
        <v>1312</v>
      </c>
      <c r="K679" s="116">
        <v>0</v>
      </c>
      <c r="L679" s="105" t="str">
        <f>$B$676&amp;"-"&amp;M679</f>
        <v>FI-JR-12-F-TZ</v>
      </c>
      <c r="M679" s="91" t="s">
        <v>1110</v>
      </c>
      <c r="N679" s="92" t="s">
        <v>526</v>
      </c>
      <c r="O679" s="99">
        <v>0</v>
      </c>
      <c r="P679" s="95"/>
      <c r="R679" s="89"/>
      <c r="T679" s="11" t="str">
        <f>IF(OR(AND(OR(ISBLANK(G679),ISBLANK(K679),ISBLANK(O679)),$R$676&gt;0),AND($R$676&lt;=0,OR(OR(G679&lt;&gt;0,K679&lt;&gt;0,O679&lt;&gt;0)))),"R","G")</f>
        <v>G</v>
      </c>
    </row>
    <row r="680" spans="2:20" x14ac:dyDescent="0.25">
      <c r="B680" s="90"/>
      <c r="C680" s="102" t="str">
        <f t="shared" ref="C680:C691" si="136">$B$676&amp;"-"&amp;D680</f>
        <v>FI-JR-12-F-DZ</v>
      </c>
      <c r="D680" s="91" t="s">
        <v>1094</v>
      </c>
      <c r="E680" s="103" t="s">
        <v>319</v>
      </c>
      <c r="F680" s="93"/>
      <c r="G680" s="116">
        <v>0</v>
      </c>
      <c r="H680" s="105" t="str">
        <f t="shared" ref="H680:H691" si="137">$B$676&amp;"-"&amp;I680</f>
        <v>FI-JR-12-F-LB</v>
      </c>
      <c r="I680" s="91" t="s">
        <v>1102</v>
      </c>
      <c r="J680" s="92" t="s">
        <v>434</v>
      </c>
      <c r="K680" s="116">
        <v>0</v>
      </c>
      <c r="L680" s="105" t="str">
        <f t="shared" ref="L680:L684" si="138">$B$676&amp;"-"&amp;M680</f>
        <v>FI-JR-12-F-TT</v>
      </c>
      <c r="M680" s="91" t="s">
        <v>1111</v>
      </c>
      <c r="N680" s="92" t="s">
        <v>532</v>
      </c>
      <c r="O680" s="99">
        <v>0</v>
      </c>
      <c r="P680" s="95"/>
      <c r="R680" s="89"/>
      <c r="T680" s="11" t="str">
        <f t="shared" ref="T680:T685" si="139">IF(OR(AND(OR(ISBLANK(G680),ISBLANK(K680),ISBLANK(O680)),$R$676&gt;0),AND($R$676&lt;=0,OR(OR(G680&lt;&gt;0,K680&lt;&gt;0,O680&lt;&gt;0)))),"R","G")</f>
        <v>G</v>
      </c>
    </row>
    <row r="681" spans="2:20" x14ac:dyDescent="0.25">
      <c r="B681" s="90"/>
      <c r="C681" s="102" t="str">
        <f t="shared" si="136"/>
        <v>FI-JR-12-F-AO</v>
      </c>
      <c r="D681" s="91" t="s">
        <v>1095</v>
      </c>
      <c r="E681" s="103" t="s">
        <v>322</v>
      </c>
      <c r="F681" s="93"/>
      <c r="G681" s="116">
        <v>0</v>
      </c>
      <c r="H681" s="105" t="str">
        <f t="shared" si="137"/>
        <v>FI-JR-12-F-ML</v>
      </c>
      <c r="I681" s="91" t="s">
        <v>1103</v>
      </c>
      <c r="J681" s="92" t="s">
        <v>447</v>
      </c>
      <c r="K681" s="116">
        <v>0</v>
      </c>
      <c r="L681" s="105" t="str">
        <f t="shared" si="138"/>
        <v>FI-JR-12-F-VU</v>
      </c>
      <c r="M681" s="91" t="s">
        <v>1112</v>
      </c>
      <c r="N681" s="92" t="s">
        <v>546</v>
      </c>
      <c r="O681" s="99">
        <v>0</v>
      </c>
      <c r="P681" s="95"/>
      <c r="R681" s="89"/>
      <c r="T681" s="11" t="str">
        <f t="shared" si="139"/>
        <v>G</v>
      </c>
    </row>
    <row r="682" spans="2:20" x14ac:dyDescent="0.25">
      <c r="B682" s="90"/>
      <c r="C682" s="102" t="str">
        <f t="shared" si="136"/>
        <v>FI-JR-12-F-BO</v>
      </c>
      <c r="D682" s="91" t="s">
        <v>1316</v>
      </c>
      <c r="E682" s="103" t="s">
        <v>342</v>
      </c>
      <c r="F682" s="93"/>
      <c r="G682" s="116">
        <v>0</v>
      </c>
      <c r="H682" s="105" t="str">
        <f t="shared" si="137"/>
        <v>FI-JR-12-F-MN</v>
      </c>
      <c r="I682" s="91" t="s">
        <v>1315</v>
      </c>
      <c r="J682" s="92" t="s">
        <v>457</v>
      </c>
      <c r="K682" s="116">
        <v>0</v>
      </c>
      <c r="L682" s="105" t="str">
        <f t="shared" si="138"/>
        <v>FI-JR-12-F-VE</v>
      </c>
      <c r="M682" s="91" t="s">
        <v>1113</v>
      </c>
      <c r="N682" s="92" t="s">
        <v>547</v>
      </c>
      <c r="O682" s="99">
        <v>0</v>
      </c>
      <c r="P682" s="95"/>
      <c r="R682" s="89"/>
      <c r="T682" s="11" t="str">
        <f t="shared" si="139"/>
        <v>G</v>
      </c>
    </row>
    <row r="683" spans="2:20" x14ac:dyDescent="0.25">
      <c r="B683" s="90"/>
      <c r="C683" s="102" t="str">
        <f t="shared" si="136"/>
        <v>FI-JR-12-F-BG</v>
      </c>
      <c r="D683" s="91" t="s">
        <v>1096</v>
      </c>
      <c r="E683" s="103" t="s">
        <v>349</v>
      </c>
      <c r="F683" s="93"/>
      <c r="G683" s="116">
        <v>0</v>
      </c>
      <c r="H683" s="105" t="str">
        <f t="shared" si="137"/>
        <v>FI-JR-12-F-MZ</v>
      </c>
      <c r="I683" s="91" t="s">
        <v>1104</v>
      </c>
      <c r="J683" s="92" t="s">
        <v>461</v>
      </c>
      <c r="K683" s="116">
        <v>0</v>
      </c>
      <c r="L683" s="105" t="str">
        <f t="shared" si="138"/>
        <v>FI-JR-12-F-VN</v>
      </c>
      <c r="M683" s="91" t="s">
        <v>1114</v>
      </c>
      <c r="N683" s="92" t="s">
        <v>1313</v>
      </c>
      <c r="O683" s="99">
        <v>0</v>
      </c>
      <c r="P683" s="95"/>
      <c r="R683" s="89"/>
      <c r="T683" s="11" t="str">
        <f t="shared" si="139"/>
        <v>G</v>
      </c>
    </row>
    <row r="684" spans="2:20" x14ac:dyDescent="0.25">
      <c r="B684" s="90"/>
      <c r="C684" s="102" t="str">
        <f t="shared" si="136"/>
        <v>FI-JR-12-F-BF</v>
      </c>
      <c r="D684" s="91" t="s">
        <v>1097</v>
      </c>
      <c r="E684" s="103" t="s">
        <v>350</v>
      </c>
      <c r="F684" s="93"/>
      <c r="G684" s="116">
        <v>0</v>
      </c>
      <c r="H684" s="105" t="str">
        <f t="shared" si="137"/>
        <v>FI-JR-12-F-MM</v>
      </c>
      <c r="I684" s="91" t="s">
        <v>1105</v>
      </c>
      <c r="J684" s="92" t="s">
        <v>462</v>
      </c>
      <c r="K684" s="116">
        <v>0</v>
      </c>
      <c r="L684" s="105" t="str">
        <f t="shared" si="138"/>
        <v>FI-JR-12-F-VI</v>
      </c>
      <c r="M684" s="91" t="s">
        <v>1319</v>
      </c>
      <c r="N684" s="92" t="s">
        <v>1314</v>
      </c>
      <c r="O684" s="99">
        <v>0</v>
      </c>
      <c r="P684" s="95"/>
      <c r="R684" s="89"/>
      <c r="T684" s="11" t="str">
        <f t="shared" si="139"/>
        <v>G</v>
      </c>
    </row>
    <row r="685" spans="2:20" x14ac:dyDescent="0.25">
      <c r="B685" s="90"/>
      <c r="C685" s="102" t="str">
        <f t="shared" si="136"/>
        <v>FI-JR-12-F-CM</v>
      </c>
      <c r="D685" s="91" t="s">
        <v>1098</v>
      </c>
      <c r="E685" s="103" t="s">
        <v>353</v>
      </c>
      <c r="F685" s="93"/>
      <c r="G685" s="116">
        <v>0</v>
      </c>
      <c r="H685" s="105" t="str">
        <f t="shared" si="137"/>
        <v>FI-JR-12-F-NA</v>
      </c>
      <c r="I685" s="91" t="s">
        <v>1106</v>
      </c>
      <c r="J685" s="92" t="s">
        <v>463</v>
      </c>
      <c r="K685" s="116">
        <v>0</v>
      </c>
      <c r="L685" s="105" t="str">
        <f>$B$676&amp;"-"&amp;M685</f>
        <v>FI-JR-12-F-YE</v>
      </c>
      <c r="M685" s="91" t="s">
        <v>1115</v>
      </c>
      <c r="N685" s="92" t="s">
        <v>553</v>
      </c>
      <c r="O685" s="99">
        <v>0</v>
      </c>
      <c r="P685" s="95"/>
      <c r="R685" s="89"/>
      <c r="T685" s="11" t="str">
        <f t="shared" si="139"/>
        <v>G</v>
      </c>
    </row>
    <row r="686" spans="2:20" ht="38.25" x14ac:dyDescent="0.25">
      <c r="B686" s="90"/>
      <c r="C686" s="102" t="str">
        <f t="shared" si="136"/>
        <v>FI-JR-12-F-CD</v>
      </c>
      <c r="D686" s="91" t="s">
        <v>1099</v>
      </c>
      <c r="E686" s="103" t="s">
        <v>366</v>
      </c>
      <c r="F686" s="93"/>
      <c r="G686" s="116">
        <v>0</v>
      </c>
      <c r="H686" s="105" t="str">
        <f>$B$676&amp;"-"&amp;I686</f>
        <v>FI-JR-12-F-NP</v>
      </c>
      <c r="I686" s="91" t="s">
        <v>1318</v>
      </c>
      <c r="J686" s="92" t="s">
        <v>465</v>
      </c>
      <c r="K686" s="116">
        <v>0</v>
      </c>
      <c r="L686" s="89"/>
      <c r="M686" s="89"/>
      <c r="N686" s="89"/>
      <c r="O686" s="89"/>
      <c r="P686" s="95"/>
      <c r="R686" s="89"/>
      <c r="T686" s="11" t="str">
        <f t="shared" ref="T686:T691" si="140">IF(OR(AND(OR(ISBLANK(G686),ISBLANK(K686)),$R$676&gt;0),AND($R$676&lt;=0,OR(OR(G686&lt;&gt;0,K686&lt;&gt;0)))),"R","G")</f>
        <v>G</v>
      </c>
    </row>
    <row r="687" spans="2:20" x14ac:dyDescent="0.25">
      <c r="B687" s="90"/>
      <c r="C687" s="102" t="str">
        <f t="shared" si="136"/>
        <v>FI-JR-12-F-CI</v>
      </c>
      <c r="D687" s="91" t="s">
        <v>1091</v>
      </c>
      <c r="E687" s="103" t="s">
        <v>369</v>
      </c>
      <c r="F687" s="93"/>
      <c r="G687" s="116">
        <v>0</v>
      </c>
      <c r="H687" s="105" t="str">
        <f t="shared" si="137"/>
        <v>FI-JR-12-F-NG</v>
      </c>
      <c r="I687" s="91" t="s">
        <v>1107</v>
      </c>
      <c r="J687" s="92" t="s">
        <v>472</v>
      </c>
      <c r="K687" s="116">
        <v>0</v>
      </c>
      <c r="L687" s="89"/>
      <c r="M687" s="89"/>
      <c r="N687" s="89"/>
      <c r="O687" s="89"/>
      <c r="P687" s="95"/>
      <c r="R687" s="89"/>
      <c r="T687" s="11" t="str">
        <f t="shared" si="140"/>
        <v>G</v>
      </c>
    </row>
    <row r="688" spans="2:20" x14ac:dyDescent="0.25">
      <c r="B688" s="90"/>
      <c r="C688" s="102" t="str">
        <f t="shared" si="136"/>
        <v>FI-JR-12-F-HT</v>
      </c>
      <c r="D688" s="91" t="s">
        <v>1100</v>
      </c>
      <c r="E688" s="103" t="s">
        <v>408</v>
      </c>
      <c r="F688" s="93"/>
      <c r="G688" s="116">
        <v>0</v>
      </c>
      <c r="H688" s="105" t="str">
        <f t="shared" si="137"/>
        <v>FI-JR-12-F-RU</v>
      </c>
      <c r="I688" s="91" t="s">
        <v>1321</v>
      </c>
      <c r="J688" s="92" t="s">
        <v>1320</v>
      </c>
      <c r="K688" s="116">
        <v>0</v>
      </c>
      <c r="L688" s="89"/>
      <c r="M688" s="89"/>
      <c r="N688" s="89"/>
      <c r="O688" s="89"/>
      <c r="P688" s="95"/>
      <c r="R688" s="89"/>
      <c r="T688" s="11" t="str">
        <f t="shared" si="140"/>
        <v>G</v>
      </c>
    </row>
    <row r="689" spans="2:20" ht="25.5" x14ac:dyDescent="0.25">
      <c r="B689" s="90"/>
      <c r="C689" s="102" t="str">
        <f t="shared" si="136"/>
        <v>FI-JR-12-F-IR</v>
      </c>
      <c r="D689" s="91" t="s">
        <v>912</v>
      </c>
      <c r="E689" s="103" t="s">
        <v>417</v>
      </c>
      <c r="F689" s="93"/>
      <c r="G689" s="116">
        <v>0</v>
      </c>
      <c r="H689" s="105" t="str">
        <f t="shared" si="137"/>
        <v>FI-JR-12-F-ZA</v>
      </c>
      <c r="I689" s="91" t="s">
        <v>1108</v>
      </c>
      <c r="J689" s="92" t="s">
        <v>513</v>
      </c>
      <c r="K689" s="116">
        <v>0</v>
      </c>
      <c r="L689" s="89"/>
      <c r="M689" s="89"/>
      <c r="N689" s="89"/>
      <c r="O689" s="89"/>
      <c r="P689" s="95"/>
      <c r="R689" s="89"/>
      <c r="T689" s="11" t="str">
        <f t="shared" si="140"/>
        <v>G</v>
      </c>
    </row>
    <row r="690" spans="2:20" x14ac:dyDescent="0.25">
      <c r="B690" s="90"/>
      <c r="C690" s="102" t="str">
        <f t="shared" si="136"/>
        <v>FI-JR-12-F-KE</v>
      </c>
      <c r="D690" s="91" t="s">
        <v>1101</v>
      </c>
      <c r="E690" s="103" t="s">
        <v>426</v>
      </c>
      <c r="F690" s="93"/>
      <c r="G690" s="116">
        <v>0</v>
      </c>
      <c r="H690" s="105" t="str">
        <f t="shared" si="137"/>
        <v>FI-JR-12-F-SS</v>
      </c>
      <c r="I690" s="91" t="s">
        <v>1089</v>
      </c>
      <c r="J690" s="92" t="s">
        <v>1088</v>
      </c>
      <c r="K690" s="99">
        <v>0</v>
      </c>
      <c r="L690" s="94"/>
      <c r="M690" s="95"/>
      <c r="N690" s="95"/>
      <c r="O690" s="95"/>
      <c r="P690" s="95"/>
      <c r="R690" s="89"/>
      <c r="T690" s="11" t="str">
        <f t="shared" si="140"/>
        <v>G</v>
      </c>
    </row>
    <row r="691" spans="2:20" ht="25.5" x14ac:dyDescent="0.25">
      <c r="B691" s="90"/>
      <c r="C691" s="102" t="str">
        <f t="shared" si="136"/>
        <v>FI-JR-12-F-KP</v>
      </c>
      <c r="D691" s="91" t="s">
        <v>1090</v>
      </c>
      <c r="E691" s="103" t="s">
        <v>428</v>
      </c>
      <c r="F691" s="96"/>
      <c r="G691" s="116">
        <v>0</v>
      </c>
      <c r="H691" s="105" t="str">
        <f t="shared" si="137"/>
        <v>FI-JR-12-F-SY</v>
      </c>
      <c r="I691" s="91" t="s">
        <v>1109</v>
      </c>
      <c r="J691" s="92" t="s">
        <v>523</v>
      </c>
      <c r="K691" s="99">
        <v>0</v>
      </c>
      <c r="L691" s="94"/>
      <c r="M691" s="95"/>
      <c r="N691" s="95"/>
      <c r="O691" s="95"/>
      <c r="P691" s="95"/>
      <c r="R691" s="89"/>
      <c r="T691" s="11" t="str">
        <f t="shared" si="140"/>
        <v>G</v>
      </c>
    </row>
    <row r="692" spans="2:20" x14ac:dyDescent="0.25">
      <c r="E692" s="52"/>
      <c r="F692" s="52"/>
      <c r="G692" s="52"/>
      <c r="H692" s="52"/>
      <c r="I692" s="52"/>
      <c r="J692" s="52"/>
      <c r="K692" s="52"/>
      <c r="L692" s="52"/>
      <c r="M692" s="52"/>
      <c r="N692" s="52"/>
      <c r="O692" s="52"/>
      <c r="P692" s="52"/>
    </row>
    <row r="693" spans="2:20" x14ac:dyDescent="0.25">
      <c r="B693" s="15" t="s">
        <v>1252</v>
      </c>
      <c r="D693" s="195" t="s">
        <v>842</v>
      </c>
      <c r="E693" s="195"/>
      <c r="F693" s="195"/>
      <c r="G693" s="195"/>
      <c r="H693" s="195"/>
      <c r="I693" s="195"/>
      <c r="J693" s="195"/>
      <c r="K693" s="195"/>
      <c r="L693" s="195"/>
      <c r="M693" s="195"/>
      <c r="N693" s="195"/>
      <c r="O693" s="195"/>
    </row>
    <row r="694" spans="2:20" ht="52.5" customHeight="1" x14ac:dyDescent="0.25">
      <c r="D694" s="190" t="s">
        <v>1349</v>
      </c>
      <c r="E694" s="190"/>
      <c r="F694" s="190"/>
      <c r="G694" s="190"/>
      <c r="H694" s="190"/>
      <c r="I694" s="190"/>
      <c r="J694" s="190"/>
      <c r="K694" s="190"/>
      <c r="L694" s="190"/>
      <c r="M694" s="190"/>
      <c r="N694" s="190"/>
      <c r="O694" s="190"/>
      <c r="P694" s="190"/>
      <c r="R694" s="101"/>
    </row>
    <row r="695" spans="2:20" ht="15" customHeight="1" x14ac:dyDescent="0.25">
      <c r="B695" s="46" t="str">
        <f>B693&amp;"-M"</f>
        <v>FI-JR-13-M</v>
      </c>
      <c r="C695" s="46"/>
      <c r="D695" s="84"/>
      <c r="E695" s="189" t="s">
        <v>448</v>
      </c>
      <c r="F695" s="189"/>
      <c r="G695" s="189"/>
      <c r="H695" s="189"/>
      <c r="I695" s="189"/>
      <c r="J695" s="189"/>
      <c r="K695" s="189"/>
      <c r="L695" s="189"/>
      <c r="M695" s="189"/>
      <c r="N695" s="189"/>
      <c r="O695" s="189"/>
      <c r="P695" s="52"/>
      <c r="R695" s="67"/>
      <c r="T695" s="11" t="str">
        <f>IF(OR(AND(ISBLANK(R695),CR.32&gt;0),AND(CR.32&lt;=0,NOT(ISBLANK(R695)))),"R","G")</f>
        <v>G</v>
      </c>
    </row>
    <row r="696" spans="2:20" ht="15" customHeight="1" x14ac:dyDescent="0.25">
      <c r="B696" s="46" t="str">
        <f>B693&amp;"-E"</f>
        <v>FI-JR-13-E</v>
      </c>
      <c r="C696" s="46"/>
      <c r="D696" s="84"/>
      <c r="E696" s="189" t="s">
        <v>1084</v>
      </c>
      <c r="F696" s="189"/>
      <c r="G696" s="189"/>
      <c r="H696" s="189"/>
      <c r="I696" s="189"/>
      <c r="J696" s="189"/>
      <c r="K696" s="189"/>
      <c r="L696" s="189"/>
      <c r="M696" s="189"/>
      <c r="N696" s="189"/>
      <c r="O696" s="189"/>
      <c r="P696" s="52"/>
      <c r="R696" s="67"/>
      <c r="T696" s="11" t="str">
        <f>IF(OR(AND(ISBLANK(R696),CR.32&gt;0),AND(CR.32&lt;=0,NOT(ISBLANK(R696)))),"R","G")</f>
        <v>G</v>
      </c>
    </row>
    <row r="697" spans="2:20" ht="15" customHeight="1" x14ac:dyDescent="0.25">
      <c r="B697" s="46" t="str">
        <f>B693&amp;"-N"</f>
        <v>FI-JR-13-N</v>
      </c>
      <c r="C697" s="46"/>
      <c r="D697" s="84"/>
      <c r="E697" s="189" t="s">
        <v>1085</v>
      </c>
      <c r="F697" s="189"/>
      <c r="G697" s="189"/>
      <c r="H697" s="189"/>
      <c r="I697" s="189"/>
      <c r="J697" s="189"/>
      <c r="K697" s="189"/>
      <c r="L697" s="189"/>
      <c r="M697" s="189"/>
      <c r="N697" s="189"/>
      <c r="O697" s="189"/>
      <c r="P697" s="52"/>
      <c r="R697" s="67"/>
      <c r="T697" s="11" t="str">
        <f>IF(OR(AND(ISBLANK(R697),CR.32&gt;0),AND(CR.32&lt;=0,NOT(ISBLANK(R697)))),"R","G")</f>
        <v>G</v>
      </c>
    </row>
    <row r="698" spans="2:20" ht="27" customHeight="1" x14ac:dyDescent="0.25">
      <c r="B698" s="46" t="str">
        <f>B693&amp;"-F"</f>
        <v>FI-JR-13-F</v>
      </c>
      <c r="C698" s="46"/>
      <c r="D698" s="84"/>
      <c r="E698" s="191" t="s">
        <v>1086</v>
      </c>
      <c r="F698" s="191"/>
      <c r="G698" s="191"/>
      <c r="H698" s="191"/>
      <c r="I698" s="191"/>
      <c r="J698" s="191"/>
      <c r="K698" s="191"/>
      <c r="L698" s="191"/>
      <c r="M698" s="191"/>
      <c r="N698" s="191"/>
      <c r="O698" s="191"/>
      <c r="P698" s="86"/>
      <c r="R698" s="67"/>
      <c r="T698" s="11" t="str">
        <f>IF(OR(AND(ISBLANK(R698),CR.32&gt;0),AND(CR.32&lt;=0,NOT(ISBLANK(R698)))),"R","G")</f>
        <v>G</v>
      </c>
    </row>
    <row r="699" spans="2:20" ht="9.75" customHeight="1" x14ac:dyDescent="0.25">
      <c r="B699" s="10"/>
      <c r="C699" s="10"/>
      <c r="D699" s="10"/>
      <c r="E699" s="10"/>
      <c r="F699" s="10"/>
      <c r="G699" s="10"/>
      <c r="H699" s="10"/>
      <c r="I699" s="10"/>
      <c r="J699" s="10"/>
      <c r="K699" s="10"/>
      <c r="L699" s="10"/>
      <c r="M699" s="10"/>
      <c r="N699" s="10"/>
      <c r="O699" s="10"/>
      <c r="P699" s="10"/>
      <c r="R699" s="10"/>
    </row>
    <row r="700" spans="2:20" ht="15" customHeight="1" x14ac:dyDescent="0.25">
      <c r="B700" s="87"/>
      <c r="C700" s="87"/>
      <c r="D700" s="192" t="str">
        <f>IF(R698=0,"",IF(SUM(G701:G713,K701:K713,O701:O707)=R698,"","The totals included next to each jurisdiction do not add up to "&amp;R698&amp;", please revise the figures."))</f>
        <v/>
      </c>
      <c r="E700" s="192"/>
      <c r="F700" s="192"/>
      <c r="G700" s="192"/>
      <c r="H700" s="192"/>
      <c r="I700" s="192"/>
      <c r="J700" s="192"/>
      <c r="K700" s="192"/>
      <c r="L700" s="192"/>
      <c r="M700" s="192"/>
      <c r="N700" s="192"/>
      <c r="O700" s="192"/>
      <c r="P700" s="88"/>
      <c r="R700" s="89"/>
      <c r="T700" s="11" t="str">
        <f>IF(D700="","G","R")</f>
        <v>G</v>
      </c>
    </row>
    <row r="701" spans="2:20" ht="25.5" x14ac:dyDescent="0.25">
      <c r="B701" s="90"/>
      <c r="C701" s="102" t="str">
        <f>$B$698&amp;"-"&amp;D701</f>
        <v>FI-JR-13-F-AF</v>
      </c>
      <c r="D701" s="91" t="s">
        <v>1093</v>
      </c>
      <c r="E701" s="103" t="s">
        <v>317</v>
      </c>
      <c r="F701" s="93"/>
      <c r="G701" s="116">
        <v>0</v>
      </c>
      <c r="H701" s="105" t="str">
        <f>$B$698&amp;"-"&amp;I701</f>
        <v>FI-JR-13-F-LA</v>
      </c>
      <c r="I701" s="91" t="s">
        <v>1317</v>
      </c>
      <c r="J701" s="92" t="s">
        <v>1312</v>
      </c>
      <c r="K701" s="116">
        <v>0</v>
      </c>
      <c r="L701" s="105" t="str">
        <f>$B$698&amp;"-"&amp;M701</f>
        <v>FI-JR-13-F-TZ</v>
      </c>
      <c r="M701" s="91" t="s">
        <v>1110</v>
      </c>
      <c r="N701" s="92" t="s">
        <v>526</v>
      </c>
      <c r="O701" s="99">
        <v>0</v>
      </c>
      <c r="P701" s="95"/>
      <c r="R701" s="89"/>
      <c r="T701" s="11" t="str">
        <f>IF(OR(AND(OR(ISBLANK(G701),ISBLANK(K701),ISBLANK(O701)),$R$698&gt;0),AND($R$698&lt;=0,OR(OR(G701&lt;&gt;0,K701&lt;&gt;0,O701&lt;&gt;0)))),"R","G")</f>
        <v>G</v>
      </c>
    </row>
    <row r="702" spans="2:20" x14ac:dyDescent="0.25">
      <c r="B702" s="90"/>
      <c r="C702" s="102" t="str">
        <f t="shared" ref="C702:C713" si="141">$B$698&amp;"-"&amp;D702</f>
        <v>FI-JR-13-F-DZ</v>
      </c>
      <c r="D702" s="91" t="s">
        <v>1094</v>
      </c>
      <c r="E702" s="103" t="s">
        <v>319</v>
      </c>
      <c r="F702" s="93"/>
      <c r="G702" s="116">
        <v>0</v>
      </c>
      <c r="H702" s="105" t="str">
        <f t="shared" ref="H702:H713" si="142">$B$698&amp;"-"&amp;I702</f>
        <v>FI-JR-13-F-LB</v>
      </c>
      <c r="I702" s="91" t="s">
        <v>1102</v>
      </c>
      <c r="J702" s="92" t="s">
        <v>434</v>
      </c>
      <c r="K702" s="116">
        <v>0</v>
      </c>
      <c r="L702" s="105" t="str">
        <f t="shared" ref="L702:L707" si="143">$B$698&amp;"-"&amp;M702</f>
        <v>FI-JR-13-F-TT</v>
      </c>
      <c r="M702" s="91" t="s">
        <v>1111</v>
      </c>
      <c r="N702" s="92" t="s">
        <v>532</v>
      </c>
      <c r="O702" s="99">
        <v>0</v>
      </c>
      <c r="P702" s="95"/>
      <c r="R702" s="89"/>
      <c r="T702" s="11" t="str">
        <f t="shared" ref="T702:T707" si="144">IF(OR(AND(OR(ISBLANK(G702),ISBLANK(K702),ISBLANK(O702)),$R$698&gt;0),AND($R$698&lt;=0,OR(OR(G702&lt;&gt;0,K702&lt;&gt;0,O702&lt;&gt;0)))),"R","G")</f>
        <v>G</v>
      </c>
    </row>
    <row r="703" spans="2:20" x14ac:dyDescent="0.25">
      <c r="B703" s="90"/>
      <c r="C703" s="102" t="str">
        <f t="shared" si="141"/>
        <v>FI-JR-13-F-AO</v>
      </c>
      <c r="D703" s="91" t="s">
        <v>1095</v>
      </c>
      <c r="E703" s="103" t="s">
        <v>322</v>
      </c>
      <c r="F703" s="93"/>
      <c r="G703" s="116">
        <v>0</v>
      </c>
      <c r="H703" s="105" t="str">
        <f t="shared" si="142"/>
        <v>FI-JR-13-F-ML</v>
      </c>
      <c r="I703" s="91" t="s">
        <v>1103</v>
      </c>
      <c r="J703" s="92" t="s">
        <v>447</v>
      </c>
      <c r="K703" s="116">
        <v>0</v>
      </c>
      <c r="L703" s="105" t="str">
        <f t="shared" si="143"/>
        <v>FI-JR-13-F-VU</v>
      </c>
      <c r="M703" s="91" t="s">
        <v>1112</v>
      </c>
      <c r="N703" s="92" t="s">
        <v>546</v>
      </c>
      <c r="O703" s="99">
        <v>0</v>
      </c>
      <c r="P703" s="95"/>
      <c r="R703" s="89"/>
      <c r="T703" s="11" t="str">
        <f t="shared" si="144"/>
        <v>G</v>
      </c>
    </row>
    <row r="704" spans="2:20" x14ac:dyDescent="0.25">
      <c r="B704" s="90"/>
      <c r="C704" s="102" t="str">
        <f t="shared" si="141"/>
        <v>FI-JR-13-F-BO</v>
      </c>
      <c r="D704" s="91" t="s">
        <v>1316</v>
      </c>
      <c r="E704" s="103" t="s">
        <v>342</v>
      </c>
      <c r="F704" s="93"/>
      <c r="G704" s="116">
        <v>0</v>
      </c>
      <c r="H704" s="105" t="str">
        <f t="shared" si="142"/>
        <v>FI-JR-13-F-MN</v>
      </c>
      <c r="I704" s="91" t="s">
        <v>1315</v>
      </c>
      <c r="J704" s="92" t="s">
        <v>457</v>
      </c>
      <c r="K704" s="116">
        <v>0</v>
      </c>
      <c r="L704" s="105" t="str">
        <f t="shared" si="143"/>
        <v>FI-JR-13-F-VE</v>
      </c>
      <c r="M704" s="91" t="s">
        <v>1113</v>
      </c>
      <c r="N704" s="92" t="s">
        <v>547</v>
      </c>
      <c r="O704" s="99">
        <v>0</v>
      </c>
      <c r="P704" s="95"/>
      <c r="R704" s="89"/>
      <c r="T704" s="11" t="str">
        <f t="shared" si="144"/>
        <v>G</v>
      </c>
    </row>
    <row r="705" spans="2:20" x14ac:dyDescent="0.25">
      <c r="B705" s="90"/>
      <c r="C705" s="102" t="str">
        <f t="shared" si="141"/>
        <v>FI-JR-13-F-BG</v>
      </c>
      <c r="D705" s="91" t="s">
        <v>1096</v>
      </c>
      <c r="E705" s="103" t="s">
        <v>349</v>
      </c>
      <c r="F705" s="93"/>
      <c r="G705" s="116">
        <v>0</v>
      </c>
      <c r="H705" s="105" t="str">
        <f t="shared" si="142"/>
        <v>FI-JR-13-F-MZ</v>
      </c>
      <c r="I705" s="91" t="s">
        <v>1104</v>
      </c>
      <c r="J705" s="92" t="s">
        <v>461</v>
      </c>
      <c r="K705" s="116">
        <v>0</v>
      </c>
      <c r="L705" s="105" t="str">
        <f t="shared" si="143"/>
        <v>FI-JR-13-F-VN</v>
      </c>
      <c r="M705" s="91" t="s">
        <v>1114</v>
      </c>
      <c r="N705" s="92" t="s">
        <v>1313</v>
      </c>
      <c r="O705" s="99">
        <v>0</v>
      </c>
      <c r="P705" s="95"/>
      <c r="R705" s="89"/>
      <c r="T705" s="11" t="str">
        <f t="shared" si="144"/>
        <v>G</v>
      </c>
    </row>
    <row r="706" spans="2:20" x14ac:dyDescent="0.25">
      <c r="B706" s="90"/>
      <c r="C706" s="102" t="str">
        <f t="shared" si="141"/>
        <v>FI-JR-13-F-BF</v>
      </c>
      <c r="D706" s="91" t="s">
        <v>1097</v>
      </c>
      <c r="E706" s="103" t="s">
        <v>350</v>
      </c>
      <c r="F706" s="93"/>
      <c r="G706" s="116">
        <v>0</v>
      </c>
      <c r="H706" s="105" t="str">
        <f t="shared" si="142"/>
        <v>FI-JR-13-F-MM</v>
      </c>
      <c r="I706" s="91" t="s">
        <v>1105</v>
      </c>
      <c r="J706" s="92" t="s">
        <v>462</v>
      </c>
      <c r="K706" s="116">
        <v>0</v>
      </c>
      <c r="L706" s="105" t="str">
        <f t="shared" si="143"/>
        <v>FI-JR-13-F-VI</v>
      </c>
      <c r="M706" s="91" t="s">
        <v>1319</v>
      </c>
      <c r="N706" s="92" t="s">
        <v>1314</v>
      </c>
      <c r="O706" s="99">
        <v>0</v>
      </c>
      <c r="P706" s="95"/>
      <c r="R706" s="89"/>
      <c r="T706" s="11" t="str">
        <f t="shared" si="144"/>
        <v>G</v>
      </c>
    </row>
    <row r="707" spans="2:20" x14ac:dyDescent="0.25">
      <c r="B707" s="90"/>
      <c r="C707" s="102" t="str">
        <f t="shared" si="141"/>
        <v>FI-JR-13-F-CM</v>
      </c>
      <c r="D707" s="91" t="s">
        <v>1098</v>
      </c>
      <c r="E707" s="103" t="s">
        <v>353</v>
      </c>
      <c r="F707" s="93"/>
      <c r="G707" s="116">
        <v>0</v>
      </c>
      <c r="H707" s="105" t="str">
        <f t="shared" si="142"/>
        <v>FI-JR-13-F-NA</v>
      </c>
      <c r="I707" s="91" t="s">
        <v>1106</v>
      </c>
      <c r="J707" s="92" t="s">
        <v>463</v>
      </c>
      <c r="K707" s="116">
        <v>0</v>
      </c>
      <c r="L707" s="105" t="str">
        <f t="shared" si="143"/>
        <v>FI-JR-13-F-YE</v>
      </c>
      <c r="M707" s="91" t="s">
        <v>1115</v>
      </c>
      <c r="N707" s="92" t="s">
        <v>553</v>
      </c>
      <c r="O707" s="99">
        <v>0</v>
      </c>
      <c r="P707" s="95"/>
      <c r="R707" s="89"/>
      <c r="T707" s="11" t="str">
        <f t="shared" si="144"/>
        <v>G</v>
      </c>
    </row>
    <row r="708" spans="2:20" ht="38.25" x14ac:dyDescent="0.25">
      <c r="B708" s="90"/>
      <c r="C708" s="102" t="str">
        <f t="shared" si="141"/>
        <v>FI-JR-13-F-CD</v>
      </c>
      <c r="D708" s="91" t="s">
        <v>1099</v>
      </c>
      <c r="E708" s="103" t="s">
        <v>366</v>
      </c>
      <c r="F708" s="93"/>
      <c r="G708" s="116">
        <v>0</v>
      </c>
      <c r="H708" s="105" t="str">
        <f t="shared" si="142"/>
        <v>FI-JR-13-F-NP</v>
      </c>
      <c r="I708" s="91" t="s">
        <v>1318</v>
      </c>
      <c r="J708" s="92" t="s">
        <v>465</v>
      </c>
      <c r="K708" s="116">
        <v>0</v>
      </c>
      <c r="L708" s="95"/>
      <c r="M708" s="95"/>
      <c r="N708" s="95"/>
      <c r="O708" s="95"/>
      <c r="P708" s="95"/>
      <c r="R708" s="89"/>
      <c r="T708" s="11" t="str">
        <f t="shared" ref="T708:T713" si="145">IF(OR(AND(OR(ISBLANK(G708),ISBLANK(K708)),$R$698&gt;0),AND($R$698&lt;=0,OR(OR(G708&lt;&gt;0,K708&lt;&gt;0)))),"R","G")</f>
        <v>G</v>
      </c>
    </row>
    <row r="709" spans="2:20" x14ac:dyDescent="0.25">
      <c r="B709" s="90"/>
      <c r="C709" s="102" t="str">
        <f t="shared" si="141"/>
        <v>FI-JR-13-F-CI</v>
      </c>
      <c r="D709" s="91" t="s">
        <v>1091</v>
      </c>
      <c r="E709" s="103" t="s">
        <v>369</v>
      </c>
      <c r="F709" s="93"/>
      <c r="G709" s="116">
        <v>0</v>
      </c>
      <c r="H709" s="105" t="str">
        <f t="shared" si="142"/>
        <v>FI-JR-13-F-NG</v>
      </c>
      <c r="I709" s="91" t="s">
        <v>1107</v>
      </c>
      <c r="J709" s="92" t="s">
        <v>472</v>
      </c>
      <c r="K709" s="116">
        <v>0</v>
      </c>
      <c r="L709" s="95"/>
      <c r="M709" s="95"/>
      <c r="N709" s="95"/>
      <c r="O709" s="95"/>
      <c r="P709" s="95"/>
      <c r="R709" s="89"/>
      <c r="T709" s="11" t="str">
        <f t="shared" si="145"/>
        <v>G</v>
      </c>
    </row>
    <row r="710" spans="2:20" x14ac:dyDescent="0.25">
      <c r="B710" s="90"/>
      <c r="C710" s="102" t="str">
        <f t="shared" si="141"/>
        <v>FI-JR-13-F-HT</v>
      </c>
      <c r="D710" s="91" t="s">
        <v>1100</v>
      </c>
      <c r="E710" s="103" t="s">
        <v>408</v>
      </c>
      <c r="F710" s="93"/>
      <c r="G710" s="116">
        <v>0</v>
      </c>
      <c r="H710" s="105" t="str">
        <f t="shared" si="142"/>
        <v>FI-JR-13-F-RU</v>
      </c>
      <c r="I710" s="91" t="s">
        <v>1321</v>
      </c>
      <c r="J710" s="92" t="s">
        <v>1320</v>
      </c>
      <c r="K710" s="116">
        <v>0</v>
      </c>
      <c r="L710" s="95"/>
      <c r="M710" s="95"/>
      <c r="N710" s="95"/>
      <c r="O710" s="95"/>
      <c r="P710" s="95"/>
      <c r="R710" s="89"/>
      <c r="T710" s="11" t="str">
        <f t="shared" si="145"/>
        <v>G</v>
      </c>
    </row>
    <row r="711" spans="2:20" ht="25.5" x14ac:dyDescent="0.25">
      <c r="B711" s="90"/>
      <c r="C711" s="102" t="str">
        <f t="shared" si="141"/>
        <v>FI-JR-13-F-IR</v>
      </c>
      <c r="D711" s="91" t="s">
        <v>912</v>
      </c>
      <c r="E711" s="103" t="s">
        <v>417</v>
      </c>
      <c r="F711" s="93"/>
      <c r="G711" s="116">
        <v>0</v>
      </c>
      <c r="H711" s="105" t="str">
        <f t="shared" si="142"/>
        <v>FI-JR-13-F-ZA</v>
      </c>
      <c r="I711" s="91" t="s">
        <v>1108</v>
      </c>
      <c r="J711" s="92" t="s">
        <v>513</v>
      </c>
      <c r="K711" s="116">
        <v>0</v>
      </c>
      <c r="L711" s="95"/>
      <c r="M711" s="95"/>
      <c r="N711" s="95"/>
      <c r="O711" s="95"/>
      <c r="P711" s="95"/>
      <c r="R711" s="89"/>
      <c r="T711" s="11" t="str">
        <f t="shared" si="145"/>
        <v>G</v>
      </c>
    </row>
    <row r="712" spans="2:20" x14ac:dyDescent="0.25">
      <c r="B712" s="90"/>
      <c r="C712" s="102" t="str">
        <f t="shared" si="141"/>
        <v>FI-JR-13-F-KE</v>
      </c>
      <c r="D712" s="91" t="s">
        <v>1101</v>
      </c>
      <c r="E712" s="103" t="s">
        <v>426</v>
      </c>
      <c r="F712" s="93"/>
      <c r="G712" s="116">
        <v>0</v>
      </c>
      <c r="H712" s="105" t="str">
        <f t="shared" si="142"/>
        <v>FI-JR-13-F-SS</v>
      </c>
      <c r="I712" s="91" t="s">
        <v>1089</v>
      </c>
      <c r="J712" s="92" t="s">
        <v>1088</v>
      </c>
      <c r="K712" s="99">
        <v>0</v>
      </c>
      <c r="L712" s="94"/>
      <c r="M712" s="95"/>
      <c r="N712" s="95"/>
      <c r="O712" s="95"/>
      <c r="P712" s="95"/>
      <c r="R712" s="89"/>
      <c r="T712" s="11" t="str">
        <f t="shared" si="145"/>
        <v>G</v>
      </c>
    </row>
    <row r="713" spans="2:20" ht="25.5" x14ac:dyDescent="0.25">
      <c r="B713" s="90"/>
      <c r="C713" s="102" t="str">
        <f t="shared" si="141"/>
        <v>FI-JR-13-F-KP</v>
      </c>
      <c r="D713" s="91" t="s">
        <v>1090</v>
      </c>
      <c r="E713" s="103" t="s">
        <v>428</v>
      </c>
      <c r="F713" s="96"/>
      <c r="G713" s="116">
        <v>0</v>
      </c>
      <c r="H713" s="105" t="str">
        <f t="shared" si="142"/>
        <v>FI-JR-13-F-SY</v>
      </c>
      <c r="I713" s="91" t="s">
        <v>1109</v>
      </c>
      <c r="J713" s="92" t="s">
        <v>523</v>
      </c>
      <c r="K713" s="99">
        <v>0</v>
      </c>
      <c r="L713" s="94"/>
      <c r="M713" s="95"/>
      <c r="N713" s="95"/>
      <c r="O713" s="95"/>
      <c r="P713" s="95"/>
      <c r="R713" s="89"/>
      <c r="T713" s="11" t="str">
        <f t="shared" si="145"/>
        <v>G</v>
      </c>
    </row>
    <row r="714" spans="2:20" x14ac:dyDescent="0.25"/>
    <row r="715" spans="2:20" x14ac:dyDescent="0.25">
      <c r="B715" s="15" t="s">
        <v>1253</v>
      </c>
      <c r="D715" s="195" t="s">
        <v>1050</v>
      </c>
      <c r="E715" s="195"/>
      <c r="F715" s="195"/>
      <c r="G715" s="195"/>
      <c r="H715" s="195"/>
      <c r="I715" s="195"/>
      <c r="J715" s="195"/>
      <c r="K715" s="195"/>
      <c r="L715" s="195"/>
      <c r="M715" s="195"/>
      <c r="N715" s="195"/>
      <c r="O715" s="195"/>
    </row>
    <row r="716" spans="2:20" ht="52.5" customHeight="1" x14ac:dyDescent="0.25">
      <c r="D716" s="190" t="s">
        <v>1349</v>
      </c>
      <c r="E716" s="190"/>
      <c r="F716" s="190"/>
      <c r="G716" s="190"/>
      <c r="H716" s="190"/>
      <c r="I716" s="190"/>
      <c r="J716" s="190"/>
      <c r="K716" s="190"/>
      <c r="L716" s="190"/>
      <c r="M716" s="190"/>
      <c r="N716" s="190"/>
      <c r="O716" s="190"/>
      <c r="P716" s="190"/>
      <c r="R716" s="101"/>
    </row>
    <row r="717" spans="2:20" ht="15" customHeight="1" x14ac:dyDescent="0.25">
      <c r="B717" s="46" t="str">
        <f>B715&amp;"-M"</f>
        <v>FI-JR-14-M</v>
      </c>
      <c r="C717" s="46"/>
      <c r="D717" s="84"/>
      <c r="E717" s="189" t="s">
        <v>448</v>
      </c>
      <c r="F717" s="189"/>
      <c r="G717" s="189"/>
      <c r="H717" s="189"/>
      <c r="I717" s="189"/>
      <c r="J717" s="189"/>
      <c r="K717" s="189"/>
      <c r="L717" s="189"/>
      <c r="M717" s="189"/>
      <c r="N717" s="189"/>
      <c r="O717" s="189"/>
      <c r="P717" s="52"/>
      <c r="R717" s="67"/>
      <c r="T717" s="11" t="str">
        <f>IF(OR(AND(ISBLANK(R717),CR.35&gt;0),AND(CR.35&lt;=0,NOT(ISBLANK(R717)))),"R","G")</f>
        <v>G</v>
      </c>
    </row>
    <row r="718" spans="2:20" ht="15" customHeight="1" x14ac:dyDescent="0.25">
      <c r="B718" s="46" t="str">
        <f>B715&amp;"-E"</f>
        <v>FI-JR-14-E</v>
      </c>
      <c r="C718" s="46"/>
      <c r="D718" s="84"/>
      <c r="E718" s="189" t="s">
        <v>1084</v>
      </c>
      <c r="F718" s="189"/>
      <c r="G718" s="189"/>
      <c r="H718" s="189"/>
      <c r="I718" s="189"/>
      <c r="J718" s="189"/>
      <c r="K718" s="189"/>
      <c r="L718" s="189"/>
      <c r="M718" s="189"/>
      <c r="N718" s="189"/>
      <c r="O718" s="189"/>
      <c r="P718" s="52"/>
      <c r="R718" s="67"/>
      <c r="T718" s="11" t="str">
        <f>IF(OR(AND(ISBLANK(R718),CR.35&gt;0),AND(CR.35&lt;=0,NOT(ISBLANK(R718)))),"R","G")</f>
        <v>G</v>
      </c>
    </row>
    <row r="719" spans="2:20" ht="15" customHeight="1" x14ac:dyDescent="0.25">
      <c r="B719" s="46" t="str">
        <f>B715&amp;"-N"</f>
        <v>FI-JR-14-N</v>
      </c>
      <c r="C719" s="46"/>
      <c r="D719" s="84"/>
      <c r="E719" s="189" t="s">
        <v>1085</v>
      </c>
      <c r="F719" s="189"/>
      <c r="G719" s="189"/>
      <c r="H719" s="189"/>
      <c r="I719" s="189"/>
      <c r="J719" s="189"/>
      <c r="K719" s="189"/>
      <c r="L719" s="189"/>
      <c r="M719" s="189"/>
      <c r="N719" s="189"/>
      <c r="O719" s="189"/>
      <c r="P719" s="52"/>
      <c r="R719" s="67"/>
      <c r="T719" s="11" t="str">
        <f>IF(OR(AND(ISBLANK(R719),CR.35&gt;0),AND(CR.35&lt;=0,NOT(ISBLANK(R719)))),"R","G")</f>
        <v>G</v>
      </c>
    </row>
    <row r="720" spans="2:20" ht="27" customHeight="1" x14ac:dyDescent="0.25">
      <c r="B720" s="46" t="str">
        <f>B715&amp;"-F"</f>
        <v>FI-JR-14-F</v>
      </c>
      <c r="C720" s="46"/>
      <c r="D720" s="84"/>
      <c r="E720" s="191" t="s">
        <v>1086</v>
      </c>
      <c r="F720" s="191"/>
      <c r="G720" s="191"/>
      <c r="H720" s="191"/>
      <c r="I720" s="191"/>
      <c r="J720" s="191"/>
      <c r="K720" s="191"/>
      <c r="L720" s="191"/>
      <c r="M720" s="191"/>
      <c r="N720" s="191"/>
      <c r="O720" s="191"/>
      <c r="P720" s="86"/>
      <c r="R720" s="67"/>
      <c r="T720" s="11" t="str">
        <f>IF(OR(AND(ISBLANK(R720),CR.35&gt;0),AND(CR.35&lt;=0,NOT(ISBLANK(R720)))),"R","G")</f>
        <v>G</v>
      </c>
    </row>
    <row r="721" spans="2:20" ht="9.75" customHeight="1" x14ac:dyDescent="0.25">
      <c r="B721" s="10"/>
      <c r="C721" s="10"/>
      <c r="D721" s="10"/>
      <c r="E721" s="10"/>
      <c r="F721" s="10"/>
      <c r="G721" s="10"/>
      <c r="H721" s="10"/>
      <c r="I721" s="10"/>
      <c r="J721" s="10"/>
      <c r="K721" s="10"/>
      <c r="L721" s="10"/>
      <c r="M721" s="10"/>
      <c r="N721" s="10"/>
      <c r="O721" s="10"/>
      <c r="P721" s="10"/>
      <c r="R721" s="10"/>
    </row>
    <row r="722" spans="2:20" ht="15" customHeight="1" x14ac:dyDescent="0.25">
      <c r="B722" s="87"/>
      <c r="C722" s="87"/>
      <c r="D722" s="192" t="str">
        <f>IF(R720=0,"",IF(SUM(G723:G735,K723:K735,O723:O729)=R720,"","The totals included next to each jurisdiction do not add up to "&amp;R720&amp;", please revise the figures."))</f>
        <v/>
      </c>
      <c r="E722" s="192"/>
      <c r="F722" s="192"/>
      <c r="G722" s="192"/>
      <c r="H722" s="192"/>
      <c r="I722" s="192"/>
      <c r="J722" s="192"/>
      <c r="K722" s="192"/>
      <c r="L722" s="192"/>
      <c r="M722" s="192"/>
      <c r="N722" s="192"/>
      <c r="O722" s="192"/>
      <c r="P722" s="88"/>
      <c r="R722" s="89"/>
      <c r="T722" s="11" t="str">
        <f>IF(D722="","G","R")</f>
        <v>G</v>
      </c>
    </row>
    <row r="723" spans="2:20" ht="25.5" x14ac:dyDescent="0.25">
      <c r="B723" s="90"/>
      <c r="C723" s="102" t="str">
        <f>$B$720&amp;"-"&amp;D723</f>
        <v>FI-JR-14-F-AF</v>
      </c>
      <c r="D723" s="91" t="s">
        <v>1093</v>
      </c>
      <c r="E723" s="103" t="s">
        <v>317</v>
      </c>
      <c r="F723" s="93"/>
      <c r="G723" s="116">
        <v>0</v>
      </c>
      <c r="H723" s="105" t="str">
        <f>$B$720&amp;"-"&amp;I723</f>
        <v>FI-JR-14-F-LA</v>
      </c>
      <c r="I723" s="91" t="s">
        <v>1317</v>
      </c>
      <c r="J723" s="92" t="s">
        <v>1312</v>
      </c>
      <c r="K723" s="116">
        <v>0</v>
      </c>
      <c r="L723" s="105" t="str">
        <f>$B$720&amp;"-"&amp;M723</f>
        <v>FI-JR-14-F-TZ</v>
      </c>
      <c r="M723" s="91" t="s">
        <v>1110</v>
      </c>
      <c r="N723" s="92" t="s">
        <v>526</v>
      </c>
      <c r="O723" s="99">
        <v>0</v>
      </c>
      <c r="P723" s="95"/>
      <c r="R723" s="89"/>
      <c r="T723" s="11" t="str">
        <f>IF(OR(AND(OR(ISBLANK(G723),ISBLANK(K723),ISBLANK(O723)),$R$720&gt;0),AND($R$720&lt;=0,OR(OR(G723&lt;&gt;0,K723&lt;&gt;0,O723&lt;&gt;0)))),"R","G")</f>
        <v>G</v>
      </c>
    </row>
    <row r="724" spans="2:20" x14ac:dyDescent="0.25">
      <c r="B724" s="90"/>
      <c r="C724" s="102" t="str">
        <f t="shared" ref="C724:C734" si="146">$B$720&amp;"-"&amp;D724</f>
        <v>FI-JR-14-F-DZ</v>
      </c>
      <c r="D724" s="91" t="s">
        <v>1094</v>
      </c>
      <c r="E724" s="103" t="s">
        <v>319</v>
      </c>
      <c r="F724" s="93"/>
      <c r="G724" s="116">
        <v>0</v>
      </c>
      <c r="H724" s="105" t="str">
        <f t="shared" ref="H724:H734" si="147">$B$720&amp;"-"&amp;I724</f>
        <v>FI-JR-14-F-LB</v>
      </c>
      <c r="I724" s="91" t="s">
        <v>1102</v>
      </c>
      <c r="J724" s="92" t="s">
        <v>434</v>
      </c>
      <c r="K724" s="116">
        <v>0</v>
      </c>
      <c r="L724" s="105" t="str">
        <f t="shared" ref="L724:L729" si="148">$B$720&amp;"-"&amp;M724</f>
        <v>FI-JR-14-F-TT</v>
      </c>
      <c r="M724" s="91" t="s">
        <v>1111</v>
      </c>
      <c r="N724" s="92" t="s">
        <v>532</v>
      </c>
      <c r="O724" s="99">
        <v>0</v>
      </c>
      <c r="P724" s="95"/>
      <c r="R724" s="89"/>
      <c r="T724" s="11" t="str">
        <f t="shared" ref="T724:T729" si="149">IF(OR(AND(OR(ISBLANK(G724),ISBLANK(K724),ISBLANK(O724)),$R$720&gt;0),AND($R$720&lt;=0,OR(OR(G724&lt;&gt;0,K724&lt;&gt;0,O724&lt;&gt;0)))),"R","G")</f>
        <v>G</v>
      </c>
    </row>
    <row r="725" spans="2:20" x14ac:dyDescent="0.25">
      <c r="B725" s="90"/>
      <c r="C725" s="102" t="str">
        <f t="shared" si="146"/>
        <v>FI-JR-14-F-AO</v>
      </c>
      <c r="D725" s="91" t="s">
        <v>1095</v>
      </c>
      <c r="E725" s="103" t="s">
        <v>322</v>
      </c>
      <c r="F725" s="93"/>
      <c r="G725" s="116">
        <v>0</v>
      </c>
      <c r="H725" s="105" t="str">
        <f t="shared" si="147"/>
        <v>FI-JR-14-F-ML</v>
      </c>
      <c r="I725" s="91" t="s">
        <v>1103</v>
      </c>
      <c r="J725" s="92" t="s">
        <v>447</v>
      </c>
      <c r="K725" s="116">
        <v>0</v>
      </c>
      <c r="L725" s="105" t="str">
        <f t="shared" si="148"/>
        <v>FI-JR-14-F-VU</v>
      </c>
      <c r="M725" s="91" t="s">
        <v>1112</v>
      </c>
      <c r="N725" s="92" t="s">
        <v>546</v>
      </c>
      <c r="O725" s="99">
        <v>0</v>
      </c>
      <c r="P725" s="95"/>
      <c r="R725" s="89"/>
      <c r="T725" s="11" t="str">
        <f t="shared" si="149"/>
        <v>G</v>
      </c>
    </row>
    <row r="726" spans="2:20" x14ac:dyDescent="0.25">
      <c r="B726" s="90"/>
      <c r="C726" s="102" t="str">
        <f t="shared" si="146"/>
        <v>FI-JR-14-F-BO</v>
      </c>
      <c r="D726" s="91" t="s">
        <v>1316</v>
      </c>
      <c r="E726" s="103" t="s">
        <v>342</v>
      </c>
      <c r="F726" s="93"/>
      <c r="G726" s="116">
        <v>0</v>
      </c>
      <c r="H726" s="105" t="str">
        <f t="shared" si="147"/>
        <v>FI-JR-14-F-MN</v>
      </c>
      <c r="I726" s="91" t="s">
        <v>1315</v>
      </c>
      <c r="J726" s="92" t="s">
        <v>457</v>
      </c>
      <c r="K726" s="116">
        <v>0</v>
      </c>
      <c r="L726" s="105" t="str">
        <f t="shared" si="148"/>
        <v>FI-JR-14-F-VE</v>
      </c>
      <c r="M726" s="91" t="s">
        <v>1113</v>
      </c>
      <c r="N726" s="92" t="s">
        <v>547</v>
      </c>
      <c r="O726" s="99">
        <v>0</v>
      </c>
      <c r="P726" s="95"/>
      <c r="R726" s="89"/>
      <c r="T726" s="11" t="str">
        <f>IF(OR(AND(OR(ISBLANK(G726),ISBLANK(K726),ISBLANK(O726)),$R$720&gt;0),AND($R$720&lt;=0,OR(OR(G726&lt;&gt;0,K726&lt;&gt;0,O726&lt;&gt;0)))),"R","G")</f>
        <v>G</v>
      </c>
    </row>
    <row r="727" spans="2:20" x14ac:dyDescent="0.25">
      <c r="B727" s="90"/>
      <c r="C727" s="102" t="str">
        <f t="shared" si="146"/>
        <v>FI-JR-14-F-BG</v>
      </c>
      <c r="D727" s="91" t="s">
        <v>1096</v>
      </c>
      <c r="E727" s="103" t="s">
        <v>349</v>
      </c>
      <c r="F727" s="93"/>
      <c r="G727" s="116">
        <v>0</v>
      </c>
      <c r="H727" s="105" t="str">
        <f t="shared" si="147"/>
        <v>FI-JR-14-F-MZ</v>
      </c>
      <c r="I727" s="91" t="s">
        <v>1104</v>
      </c>
      <c r="J727" s="92" t="s">
        <v>461</v>
      </c>
      <c r="K727" s="116">
        <v>0</v>
      </c>
      <c r="L727" s="105" t="str">
        <f t="shared" si="148"/>
        <v>FI-JR-14-F-VN</v>
      </c>
      <c r="M727" s="91" t="s">
        <v>1114</v>
      </c>
      <c r="N727" s="92" t="s">
        <v>1313</v>
      </c>
      <c r="O727" s="99">
        <v>0</v>
      </c>
      <c r="P727" s="95"/>
      <c r="R727" s="89"/>
      <c r="T727" s="11" t="str">
        <f t="shared" si="149"/>
        <v>G</v>
      </c>
    </row>
    <row r="728" spans="2:20" x14ac:dyDescent="0.25">
      <c r="B728" s="90"/>
      <c r="C728" s="102" t="str">
        <f t="shared" si="146"/>
        <v>FI-JR-14-F-BF</v>
      </c>
      <c r="D728" s="91" t="s">
        <v>1097</v>
      </c>
      <c r="E728" s="103" t="s">
        <v>350</v>
      </c>
      <c r="F728" s="93"/>
      <c r="G728" s="116">
        <v>0</v>
      </c>
      <c r="H728" s="105" t="str">
        <f t="shared" si="147"/>
        <v>FI-JR-14-F-MM</v>
      </c>
      <c r="I728" s="91" t="s">
        <v>1105</v>
      </c>
      <c r="J728" s="92" t="s">
        <v>462</v>
      </c>
      <c r="K728" s="116">
        <v>0</v>
      </c>
      <c r="L728" s="105" t="str">
        <f t="shared" si="148"/>
        <v>FI-JR-14-F-VI</v>
      </c>
      <c r="M728" s="91" t="s">
        <v>1319</v>
      </c>
      <c r="N728" s="92" t="s">
        <v>1314</v>
      </c>
      <c r="O728" s="99">
        <v>0</v>
      </c>
      <c r="P728" s="95"/>
      <c r="R728" s="89"/>
      <c r="T728" s="11" t="str">
        <f t="shared" si="149"/>
        <v>G</v>
      </c>
    </row>
    <row r="729" spans="2:20" x14ac:dyDescent="0.25">
      <c r="B729" s="90"/>
      <c r="C729" s="102" t="str">
        <f t="shared" si="146"/>
        <v>FI-JR-14-F-CM</v>
      </c>
      <c r="D729" s="91" t="s">
        <v>1098</v>
      </c>
      <c r="E729" s="103" t="s">
        <v>353</v>
      </c>
      <c r="F729" s="93"/>
      <c r="G729" s="116">
        <v>0</v>
      </c>
      <c r="H729" s="105" t="str">
        <f t="shared" si="147"/>
        <v>FI-JR-14-F-NA</v>
      </c>
      <c r="I729" s="91" t="s">
        <v>1106</v>
      </c>
      <c r="J729" s="92" t="s">
        <v>463</v>
      </c>
      <c r="K729" s="116">
        <v>0</v>
      </c>
      <c r="L729" s="105" t="str">
        <f t="shared" si="148"/>
        <v>FI-JR-14-F-YE</v>
      </c>
      <c r="M729" s="91" t="s">
        <v>1115</v>
      </c>
      <c r="N729" s="92" t="s">
        <v>553</v>
      </c>
      <c r="O729" s="99">
        <v>0</v>
      </c>
      <c r="P729" s="95"/>
      <c r="R729" s="89"/>
      <c r="T729" s="11" t="str">
        <f t="shared" si="149"/>
        <v>G</v>
      </c>
    </row>
    <row r="730" spans="2:20" ht="38.25" x14ac:dyDescent="0.25">
      <c r="B730" s="90"/>
      <c r="C730" s="102" t="str">
        <f t="shared" si="146"/>
        <v>FI-JR-14-F-CD</v>
      </c>
      <c r="D730" s="91" t="s">
        <v>1099</v>
      </c>
      <c r="E730" s="103" t="s">
        <v>366</v>
      </c>
      <c r="F730" s="93"/>
      <c r="G730" s="116">
        <v>0</v>
      </c>
      <c r="H730" s="105" t="str">
        <f t="shared" si="147"/>
        <v>FI-JR-14-F-NP</v>
      </c>
      <c r="I730" s="91" t="s">
        <v>1318</v>
      </c>
      <c r="J730" s="92" t="s">
        <v>465</v>
      </c>
      <c r="K730" s="116">
        <v>0</v>
      </c>
      <c r="L730" s="95"/>
      <c r="M730" s="95"/>
      <c r="N730" s="95"/>
      <c r="O730" s="95"/>
      <c r="P730" s="95"/>
      <c r="R730" s="89"/>
      <c r="T730" s="11" t="str">
        <f t="shared" ref="T730:T735" si="150">IF(OR(AND(OR(ISBLANK(G730),ISBLANK(K730)),$R$720&gt;0),AND($R$720&lt;=0,OR(OR(G730&lt;&gt;0,K730&lt;&gt;0)))),"R","G")</f>
        <v>G</v>
      </c>
    </row>
    <row r="731" spans="2:20" x14ac:dyDescent="0.25">
      <c r="B731" s="90"/>
      <c r="C731" s="102" t="str">
        <f t="shared" si="146"/>
        <v>FI-JR-14-F-CI</v>
      </c>
      <c r="D731" s="91" t="s">
        <v>1091</v>
      </c>
      <c r="E731" s="103" t="s">
        <v>369</v>
      </c>
      <c r="F731" s="93"/>
      <c r="G731" s="116">
        <v>0</v>
      </c>
      <c r="H731" s="105" t="str">
        <f t="shared" si="147"/>
        <v>FI-JR-14-F-NG</v>
      </c>
      <c r="I731" s="91" t="s">
        <v>1107</v>
      </c>
      <c r="J731" s="92" t="s">
        <v>472</v>
      </c>
      <c r="K731" s="116">
        <v>0</v>
      </c>
      <c r="L731" s="95"/>
      <c r="M731" s="95"/>
      <c r="N731" s="95"/>
      <c r="O731" s="95"/>
      <c r="P731" s="95"/>
      <c r="R731" s="89"/>
      <c r="T731" s="11" t="str">
        <f t="shared" si="150"/>
        <v>G</v>
      </c>
    </row>
    <row r="732" spans="2:20" x14ac:dyDescent="0.25">
      <c r="B732" s="90"/>
      <c r="C732" s="102" t="str">
        <f t="shared" si="146"/>
        <v>FI-JR-14-F-HT</v>
      </c>
      <c r="D732" s="91" t="s">
        <v>1100</v>
      </c>
      <c r="E732" s="103" t="s">
        <v>408</v>
      </c>
      <c r="F732" s="93"/>
      <c r="G732" s="116">
        <v>0</v>
      </c>
      <c r="H732" s="105" t="str">
        <f t="shared" si="147"/>
        <v>FI-JR-14-F-RU</v>
      </c>
      <c r="I732" s="91" t="s">
        <v>1321</v>
      </c>
      <c r="J732" s="92" t="s">
        <v>1320</v>
      </c>
      <c r="K732" s="116">
        <v>0</v>
      </c>
      <c r="L732" s="95"/>
      <c r="M732" s="95"/>
      <c r="N732" s="95"/>
      <c r="O732" s="95"/>
      <c r="P732" s="95"/>
      <c r="R732" s="89"/>
      <c r="T732" s="11" t="str">
        <f t="shared" si="150"/>
        <v>G</v>
      </c>
    </row>
    <row r="733" spans="2:20" ht="25.5" x14ac:dyDescent="0.25">
      <c r="B733" s="90"/>
      <c r="C733" s="102" t="str">
        <f t="shared" si="146"/>
        <v>FI-JR-14-F-IR</v>
      </c>
      <c r="D733" s="91" t="s">
        <v>912</v>
      </c>
      <c r="E733" s="103" t="s">
        <v>417</v>
      </c>
      <c r="F733" s="93"/>
      <c r="G733" s="116">
        <v>0</v>
      </c>
      <c r="H733" s="105" t="str">
        <f t="shared" si="147"/>
        <v>FI-JR-14-F-ZA</v>
      </c>
      <c r="I733" s="91" t="s">
        <v>1108</v>
      </c>
      <c r="J733" s="92" t="s">
        <v>513</v>
      </c>
      <c r="K733" s="116">
        <v>0</v>
      </c>
      <c r="L733" s="95"/>
      <c r="M733" s="95"/>
      <c r="N733" s="95"/>
      <c r="O733" s="95"/>
      <c r="P733" s="95"/>
      <c r="R733" s="89"/>
      <c r="T733" s="11" t="str">
        <f t="shared" si="150"/>
        <v>G</v>
      </c>
    </row>
    <row r="734" spans="2:20" x14ac:dyDescent="0.25">
      <c r="B734" s="90"/>
      <c r="C734" s="102" t="str">
        <f t="shared" si="146"/>
        <v>FI-JR-14-F-KE</v>
      </c>
      <c r="D734" s="91" t="s">
        <v>1101</v>
      </c>
      <c r="E734" s="103" t="s">
        <v>426</v>
      </c>
      <c r="F734" s="93"/>
      <c r="G734" s="116">
        <v>0</v>
      </c>
      <c r="H734" s="105" t="str">
        <f t="shared" si="147"/>
        <v>FI-JR-14-F-SS</v>
      </c>
      <c r="I734" s="91" t="s">
        <v>1089</v>
      </c>
      <c r="J734" s="92" t="s">
        <v>1088</v>
      </c>
      <c r="K734" s="99">
        <v>0</v>
      </c>
      <c r="L734" s="94"/>
      <c r="M734" s="95"/>
      <c r="N734" s="95"/>
      <c r="O734" s="95"/>
      <c r="P734" s="95"/>
      <c r="R734" s="89"/>
      <c r="T734" s="11" t="str">
        <f t="shared" si="150"/>
        <v>G</v>
      </c>
    </row>
    <row r="735" spans="2:20" ht="25.5" x14ac:dyDescent="0.25">
      <c r="B735" s="90"/>
      <c r="C735" s="102" t="str">
        <f>$B$720&amp;"-"&amp;D735</f>
        <v>FI-JR-14-F-KP</v>
      </c>
      <c r="D735" s="91" t="s">
        <v>1090</v>
      </c>
      <c r="E735" s="103" t="s">
        <v>428</v>
      </c>
      <c r="F735" s="96"/>
      <c r="G735" s="116">
        <v>0</v>
      </c>
      <c r="H735" s="105" t="str">
        <f>$B$720&amp;"-"&amp;I735</f>
        <v>FI-JR-14-F-SY</v>
      </c>
      <c r="I735" s="91" t="s">
        <v>1109</v>
      </c>
      <c r="J735" s="92" t="s">
        <v>523</v>
      </c>
      <c r="K735" s="99">
        <v>0</v>
      </c>
      <c r="L735" s="94"/>
      <c r="M735" s="95"/>
      <c r="N735" s="95"/>
      <c r="O735" s="95"/>
      <c r="P735" s="95"/>
      <c r="R735" s="89"/>
      <c r="T735" s="11" t="str">
        <f t="shared" si="150"/>
        <v>G</v>
      </c>
    </row>
    <row r="736" spans="2:20" x14ac:dyDescent="0.25">
      <c r="T736" s="11"/>
    </row>
    <row r="737" spans="2:20" x14ac:dyDescent="0.25">
      <c r="B737" s="15" t="s">
        <v>1254</v>
      </c>
      <c r="D737" s="195" t="s">
        <v>1051</v>
      </c>
      <c r="E737" s="195"/>
      <c r="F737" s="195"/>
      <c r="G737" s="195"/>
      <c r="H737" s="195"/>
      <c r="I737" s="195"/>
      <c r="J737" s="195"/>
      <c r="K737" s="195"/>
      <c r="L737" s="195"/>
      <c r="M737" s="195"/>
      <c r="N737" s="195"/>
      <c r="O737" s="195"/>
    </row>
    <row r="738" spans="2:20" ht="52.5" customHeight="1" x14ac:dyDescent="0.25">
      <c r="D738" s="190" t="s">
        <v>1349</v>
      </c>
      <c r="E738" s="190"/>
      <c r="F738" s="190"/>
      <c r="G738" s="190"/>
      <c r="H738" s="190"/>
      <c r="I738" s="190"/>
      <c r="J738" s="190"/>
      <c r="K738" s="190"/>
      <c r="L738" s="190"/>
      <c r="M738" s="190"/>
      <c r="N738" s="190"/>
      <c r="O738" s="190"/>
      <c r="P738" s="190"/>
      <c r="R738" s="101"/>
    </row>
    <row r="739" spans="2:20" ht="15" customHeight="1" x14ac:dyDescent="0.25">
      <c r="B739" s="46" t="str">
        <f>B737&amp;"-M"</f>
        <v>FI-JR-15-M</v>
      </c>
      <c r="C739" s="46"/>
      <c r="D739" s="84"/>
      <c r="E739" s="189" t="s">
        <v>448</v>
      </c>
      <c r="F739" s="189"/>
      <c r="G739" s="189"/>
      <c r="H739" s="189"/>
      <c r="I739" s="189"/>
      <c r="J739" s="189"/>
      <c r="K739" s="189"/>
      <c r="L739" s="189"/>
      <c r="M739" s="189"/>
      <c r="N739" s="189"/>
      <c r="O739" s="189"/>
      <c r="P739" s="52"/>
      <c r="R739" s="67"/>
      <c r="T739" s="11" t="str">
        <f>IF(OR(AND(ISBLANK(R739),CR.41&gt;0),AND(CR.41&lt;=0,NOT(ISBLANK(R739)))),"R","G")</f>
        <v>G</v>
      </c>
    </row>
    <row r="740" spans="2:20" ht="15" customHeight="1" x14ac:dyDescent="0.25">
      <c r="B740" s="46" t="str">
        <f>B737&amp;"-E"</f>
        <v>FI-JR-15-E</v>
      </c>
      <c r="C740" s="46"/>
      <c r="D740" s="84"/>
      <c r="E740" s="189" t="s">
        <v>1084</v>
      </c>
      <c r="F740" s="189"/>
      <c r="G740" s="189"/>
      <c r="H740" s="189"/>
      <c r="I740" s="189"/>
      <c r="J740" s="189"/>
      <c r="K740" s="189"/>
      <c r="L740" s="189"/>
      <c r="M740" s="189"/>
      <c r="N740" s="189"/>
      <c r="O740" s="189"/>
      <c r="P740" s="52"/>
      <c r="R740" s="67"/>
      <c r="T740" s="11" t="str">
        <f>IF(OR(AND(ISBLANK(R740),CR.41&gt;0),AND(CR.41&lt;=0,NOT(ISBLANK(R740)))),"R","G")</f>
        <v>G</v>
      </c>
    </row>
    <row r="741" spans="2:20" ht="15" customHeight="1" x14ac:dyDescent="0.25">
      <c r="B741" s="46" t="str">
        <f>B737&amp;"-N"</f>
        <v>FI-JR-15-N</v>
      </c>
      <c r="C741" s="46"/>
      <c r="D741" s="84"/>
      <c r="E741" s="189" t="s">
        <v>1085</v>
      </c>
      <c r="F741" s="189"/>
      <c r="G741" s="189"/>
      <c r="H741" s="189"/>
      <c r="I741" s="189"/>
      <c r="J741" s="189"/>
      <c r="K741" s="189"/>
      <c r="L741" s="189"/>
      <c r="M741" s="189"/>
      <c r="N741" s="189"/>
      <c r="O741" s="189"/>
      <c r="P741" s="52"/>
      <c r="R741" s="67"/>
      <c r="T741" s="11" t="str">
        <f>IF(OR(AND(ISBLANK(R741),CR.41&gt;0),AND(CR.41&lt;=0,NOT(ISBLANK(R741)))),"R","G")</f>
        <v>G</v>
      </c>
    </row>
    <row r="742" spans="2:20" ht="27" customHeight="1" x14ac:dyDescent="0.25">
      <c r="B742" s="46" t="str">
        <f>B737&amp;"-F"</f>
        <v>FI-JR-15-F</v>
      </c>
      <c r="C742" s="46"/>
      <c r="D742" s="84"/>
      <c r="E742" s="191" t="s">
        <v>1086</v>
      </c>
      <c r="F742" s="191"/>
      <c r="G742" s="191"/>
      <c r="H742" s="191"/>
      <c r="I742" s="191"/>
      <c r="J742" s="191"/>
      <c r="K742" s="191"/>
      <c r="L742" s="191"/>
      <c r="M742" s="191"/>
      <c r="N742" s="191"/>
      <c r="O742" s="191"/>
      <c r="P742" s="86"/>
      <c r="R742" s="67"/>
      <c r="T742" s="11" t="str">
        <f>IF(OR(AND(ISBLANK(R742),CR.41&gt;0),AND(CR.41&lt;=0,NOT(ISBLANK(R742)))),"R","G")</f>
        <v>G</v>
      </c>
    </row>
    <row r="743" spans="2:20" ht="9.75" customHeight="1" x14ac:dyDescent="0.25">
      <c r="B743" s="10"/>
      <c r="C743" s="10"/>
      <c r="D743" s="10"/>
      <c r="E743" s="10"/>
      <c r="F743" s="10"/>
      <c r="G743" s="10"/>
      <c r="H743" s="10"/>
      <c r="I743" s="10"/>
      <c r="J743" s="10"/>
      <c r="K743" s="10"/>
      <c r="L743" s="10"/>
      <c r="M743" s="10"/>
      <c r="N743" s="10"/>
      <c r="O743" s="10"/>
      <c r="P743" s="10"/>
      <c r="R743" s="10"/>
    </row>
    <row r="744" spans="2:20" ht="15" customHeight="1" x14ac:dyDescent="0.25">
      <c r="B744" s="87"/>
      <c r="C744" s="87"/>
      <c r="D744" s="192" t="str">
        <f>IF(R742=0,"",IF(SUM(G745:G757,K745:K757,O745:O751)=R742,"","The totals included next to each jurisdiction do not add up to "&amp;R742&amp;", please revise the figures."))</f>
        <v/>
      </c>
      <c r="E744" s="192"/>
      <c r="F744" s="192"/>
      <c r="G744" s="192"/>
      <c r="H744" s="192"/>
      <c r="I744" s="192"/>
      <c r="J744" s="192"/>
      <c r="K744" s="192"/>
      <c r="L744" s="192"/>
      <c r="M744" s="192"/>
      <c r="N744" s="192"/>
      <c r="O744" s="192"/>
      <c r="P744" s="88"/>
      <c r="R744" s="89"/>
      <c r="T744" s="11" t="str">
        <f>IF(D744="","G","R")</f>
        <v>G</v>
      </c>
    </row>
    <row r="745" spans="2:20" ht="25.5" x14ac:dyDescent="0.25">
      <c r="B745" s="90"/>
      <c r="C745" s="102" t="str">
        <f>$B$742&amp;"-"&amp;D745</f>
        <v>FI-JR-15-F-AF</v>
      </c>
      <c r="D745" s="91" t="s">
        <v>1093</v>
      </c>
      <c r="E745" s="103" t="s">
        <v>317</v>
      </c>
      <c r="F745" s="93"/>
      <c r="G745" s="116">
        <v>0</v>
      </c>
      <c r="H745" s="105" t="str">
        <f>$B$742&amp;"-"&amp;I745</f>
        <v>FI-JR-15-F-LA</v>
      </c>
      <c r="I745" s="91" t="s">
        <v>1317</v>
      </c>
      <c r="J745" s="92" t="s">
        <v>1312</v>
      </c>
      <c r="K745" s="116">
        <v>0</v>
      </c>
      <c r="L745" s="105" t="str">
        <f>$B$742&amp;"-"&amp;M745</f>
        <v>FI-JR-15-F-TZ</v>
      </c>
      <c r="M745" s="91" t="s">
        <v>1110</v>
      </c>
      <c r="N745" s="92" t="s">
        <v>526</v>
      </c>
      <c r="O745" s="99">
        <v>0</v>
      </c>
      <c r="P745" s="95"/>
      <c r="R745" s="89"/>
      <c r="T745" s="11" t="str">
        <f>IF(OR(AND(OR(ISBLANK(G745),ISBLANK(K745),ISBLANK(O745)),$R$742&gt;0),AND($R$742&lt;=0,OR(OR(G745&lt;&gt;0,K745&lt;&gt;0,O745&lt;&gt;0)))),"R","G")</f>
        <v>G</v>
      </c>
    </row>
    <row r="746" spans="2:20" x14ac:dyDescent="0.25">
      <c r="B746" s="90"/>
      <c r="C746" s="102" t="str">
        <f t="shared" ref="C746:C757" si="151">$B$742&amp;"-"&amp;D746</f>
        <v>FI-JR-15-F-DZ</v>
      </c>
      <c r="D746" s="91" t="s">
        <v>1094</v>
      </c>
      <c r="E746" s="103" t="s">
        <v>319</v>
      </c>
      <c r="F746" s="93"/>
      <c r="G746" s="116">
        <v>0</v>
      </c>
      <c r="H746" s="105" t="str">
        <f t="shared" ref="H746:H757" si="152">$B$742&amp;"-"&amp;I746</f>
        <v>FI-JR-15-F-LB</v>
      </c>
      <c r="I746" s="91" t="s">
        <v>1102</v>
      </c>
      <c r="J746" s="92" t="s">
        <v>434</v>
      </c>
      <c r="K746" s="116">
        <v>0</v>
      </c>
      <c r="L746" s="105" t="str">
        <f t="shared" ref="L746:L751" si="153">$B$742&amp;"-"&amp;M746</f>
        <v>FI-JR-15-F-TT</v>
      </c>
      <c r="M746" s="91" t="s">
        <v>1111</v>
      </c>
      <c r="N746" s="92" t="s">
        <v>532</v>
      </c>
      <c r="O746" s="99">
        <v>0</v>
      </c>
      <c r="P746" s="95"/>
      <c r="R746" s="89"/>
      <c r="T746" s="11" t="str">
        <f t="shared" ref="T746:T751" si="154">IF(OR(AND(OR(ISBLANK(G746),ISBLANK(K746),ISBLANK(O746)),$R$742&gt;0),AND($R$742&lt;=0,OR(OR(G746&lt;&gt;0,K746&lt;&gt;0,O746&lt;&gt;0)))),"R","G")</f>
        <v>G</v>
      </c>
    </row>
    <row r="747" spans="2:20" x14ac:dyDescent="0.25">
      <c r="B747" s="90"/>
      <c r="C747" s="102" t="str">
        <f t="shared" si="151"/>
        <v>FI-JR-15-F-AO</v>
      </c>
      <c r="D747" s="91" t="s">
        <v>1095</v>
      </c>
      <c r="E747" s="103" t="s">
        <v>322</v>
      </c>
      <c r="F747" s="93"/>
      <c r="G747" s="116">
        <v>0</v>
      </c>
      <c r="H747" s="105" t="str">
        <f t="shared" si="152"/>
        <v>FI-JR-15-F-ML</v>
      </c>
      <c r="I747" s="91" t="s">
        <v>1103</v>
      </c>
      <c r="J747" s="92" t="s">
        <v>447</v>
      </c>
      <c r="K747" s="116">
        <v>0</v>
      </c>
      <c r="L747" s="105" t="str">
        <f t="shared" si="153"/>
        <v>FI-JR-15-F-VU</v>
      </c>
      <c r="M747" s="91" t="s">
        <v>1112</v>
      </c>
      <c r="N747" s="92" t="s">
        <v>546</v>
      </c>
      <c r="O747" s="99">
        <v>0</v>
      </c>
      <c r="P747" s="95"/>
      <c r="R747" s="89"/>
      <c r="T747" s="11" t="str">
        <f t="shared" si="154"/>
        <v>G</v>
      </c>
    </row>
    <row r="748" spans="2:20" x14ac:dyDescent="0.25">
      <c r="B748" s="90"/>
      <c r="C748" s="102" t="str">
        <f t="shared" si="151"/>
        <v>FI-JR-15-F-BO</v>
      </c>
      <c r="D748" s="91" t="s">
        <v>1316</v>
      </c>
      <c r="E748" s="103" t="s">
        <v>342</v>
      </c>
      <c r="F748" s="93"/>
      <c r="G748" s="116">
        <v>0</v>
      </c>
      <c r="H748" s="105" t="str">
        <f t="shared" si="152"/>
        <v>FI-JR-15-F-MN</v>
      </c>
      <c r="I748" s="91" t="s">
        <v>1315</v>
      </c>
      <c r="J748" s="92" t="s">
        <v>457</v>
      </c>
      <c r="K748" s="116">
        <v>0</v>
      </c>
      <c r="L748" s="105" t="str">
        <f t="shared" si="153"/>
        <v>FI-JR-15-F-VE</v>
      </c>
      <c r="M748" s="91" t="s">
        <v>1113</v>
      </c>
      <c r="N748" s="92" t="s">
        <v>547</v>
      </c>
      <c r="O748" s="99">
        <v>0</v>
      </c>
      <c r="P748" s="95"/>
      <c r="R748" s="89"/>
      <c r="T748" s="11" t="str">
        <f t="shared" si="154"/>
        <v>G</v>
      </c>
    </row>
    <row r="749" spans="2:20" x14ac:dyDescent="0.25">
      <c r="B749" s="90"/>
      <c r="C749" s="102" t="str">
        <f t="shared" si="151"/>
        <v>FI-JR-15-F-BG</v>
      </c>
      <c r="D749" s="91" t="s">
        <v>1096</v>
      </c>
      <c r="E749" s="103" t="s">
        <v>349</v>
      </c>
      <c r="F749" s="93"/>
      <c r="G749" s="116">
        <v>0</v>
      </c>
      <c r="H749" s="105" t="str">
        <f t="shared" si="152"/>
        <v>FI-JR-15-F-MZ</v>
      </c>
      <c r="I749" s="91" t="s">
        <v>1104</v>
      </c>
      <c r="J749" s="92" t="s">
        <v>461</v>
      </c>
      <c r="K749" s="116">
        <v>0</v>
      </c>
      <c r="L749" s="105" t="str">
        <f t="shared" si="153"/>
        <v>FI-JR-15-F-VN</v>
      </c>
      <c r="M749" s="91" t="s">
        <v>1114</v>
      </c>
      <c r="N749" s="92" t="s">
        <v>1313</v>
      </c>
      <c r="O749" s="99">
        <v>0</v>
      </c>
      <c r="P749" s="95"/>
      <c r="R749" s="89"/>
      <c r="T749" s="11" t="str">
        <f t="shared" si="154"/>
        <v>G</v>
      </c>
    </row>
    <row r="750" spans="2:20" x14ac:dyDescent="0.25">
      <c r="B750" s="90"/>
      <c r="C750" s="102" t="str">
        <f t="shared" si="151"/>
        <v>FI-JR-15-F-BF</v>
      </c>
      <c r="D750" s="91" t="s">
        <v>1097</v>
      </c>
      <c r="E750" s="103" t="s">
        <v>350</v>
      </c>
      <c r="F750" s="93"/>
      <c r="G750" s="116">
        <v>0</v>
      </c>
      <c r="H750" s="105" t="str">
        <f t="shared" si="152"/>
        <v>FI-JR-15-F-MM</v>
      </c>
      <c r="I750" s="91" t="s">
        <v>1105</v>
      </c>
      <c r="J750" s="92" t="s">
        <v>462</v>
      </c>
      <c r="K750" s="116">
        <v>0</v>
      </c>
      <c r="L750" s="105" t="str">
        <f t="shared" si="153"/>
        <v>FI-JR-15-F-VI</v>
      </c>
      <c r="M750" s="91" t="s">
        <v>1319</v>
      </c>
      <c r="N750" s="92" t="s">
        <v>1314</v>
      </c>
      <c r="O750" s="99">
        <v>0</v>
      </c>
      <c r="P750" s="95"/>
      <c r="R750" s="89"/>
      <c r="T750" s="11" t="str">
        <f>IF(OR(AND(OR(ISBLANK(G750),ISBLANK(K750),ISBLANK(O750)),$R$742&gt;0),AND($R$742&lt;=0,OR(OR(G750&lt;&gt;0,K750&lt;&gt;0,O750&lt;&gt;0)))),"R","G")</f>
        <v>G</v>
      </c>
    </row>
    <row r="751" spans="2:20" x14ac:dyDescent="0.25">
      <c r="B751" s="90"/>
      <c r="C751" s="102" t="str">
        <f t="shared" si="151"/>
        <v>FI-JR-15-F-CM</v>
      </c>
      <c r="D751" s="91" t="s">
        <v>1098</v>
      </c>
      <c r="E751" s="103" t="s">
        <v>353</v>
      </c>
      <c r="F751" s="93"/>
      <c r="G751" s="116">
        <v>0</v>
      </c>
      <c r="H751" s="105" t="str">
        <f t="shared" si="152"/>
        <v>FI-JR-15-F-NA</v>
      </c>
      <c r="I751" s="91" t="s">
        <v>1106</v>
      </c>
      <c r="J751" s="92" t="s">
        <v>463</v>
      </c>
      <c r="K751" s="116">
        <v>0</v>
      </c>
      <c r="L751" s="105" t="str">
        <f t="shared" si="153"/>
        <v>FI-JR-15-F-YE</v>
      </c>
      <c r="M751" s="91" t="s">
        <v>1115</v>
      </c>
      <c r="N751" s="92" t="s">
        <v>553</v>
      </c>
      <c r="O751" s="99">
        <v>0</v>
      </c>
      <c r="P751" s="95"/>
      <c r="R751" s="89"/>
      <c r="T751" s="11" t="str">
        <f t="shared" si="154"/>
        <v>G</v>
      </c>
    </row>
    <row r="752" spans="2:20" ht="38.25" x14ac:dyDescent="0.25">
      <c r="B752" s="90"/>
      <c r="C752" s="102" t="str">
        <f t="shared" si="151"/>
        <v>FI-JR-15-F-CD</v>
      </c>
      <c r="D752" s="91" t="s">
        <v>1099</v>
      </c>
      <c r="E752" s="103" t="s">
        <v>366</v>
      </c>
      <c r="F752" s="93"/>
      <c r="G752" s="116">
        <v>0</v>
      </c>
      <c r="H752" s="105" t="str">
        <f t="shared" si="152"/>
        <v>FI-JR-15-F-NP</v>
      </c>
      <c r="I752" s="91" t="s">
        <v>1318</v>
      </c>
      <c r="J752" s="92" t="s">
        <v>465</v>
      </c>
      <c r="K752" s="116">
        <v>0</v>
      </c>
      <c r="L752" s="95"/>
      <c r="M752" s="95"/>
      <c r="N752" s="95"/>
      <c r="O752" s="95"/>
      <c r="P752" s="95"/>
      <c r="R752" s="89"/>
      <c r="T752" s="11" t="str">
        <f t="shared" ref="T752:T757" si="155">IF(OR(AND(OR(ISBLANK(G752),ISBLANK(K752)),$R$742&gt;0),AND($R$742&lt;=0,OR(OR(G752&lt;&gt;0,K752&lt;&gt;0)))),"R","G")</f>
        <v>G</v>
      </c>
    </row>
    <row r="753" spans="2:20" x14ac:dyDescent="0.25">
      <c r="B753" s="90"/>
      <c r="C753" s="102" t="str">
        <f t="shared" si="151"/>
        <v>FI-JR-15-F-CI</v>
      </c>
      <c r="D753" s="91" t="s">
        <v>1091</v>
      </c>
      <c r="E753" s="103" t="s">
        <v>369</v>
      </c>
      <c r="F753" s="93"/>
      <c r="G753" s="116">
        <v>0</v>
      </c>
      <c r="H753" s="105" t="str">
        <f t="shared" si="152"/>
        <v>FI-JR-15-F-NG</v>
      </c>
      <c r="I753" s="91" t="s">
        <v>1107</v>
      </c>
      <c r="J753" s="92" t="s">
        <v>472</v>
      </c>
      <c r="K753" s="116">
        <v>0</v>
      </c>
      <c r="L753" s="95"/>
      <c r="M753" s="95"/>
      <c r="N753" s="95"/>
      <c r="O753" s="95"/>
      <c r="P753" s="95"/>
      <c r="R753" s="89"/>
      <c r="T753" s="11" t="str">
        <f t="shared" si="155"/>
        <v>G</v>
      </c>
    </row>
    <row r="754" spans="2:20" x14ac:dyDescent="0.25">
      <c r="B754" s="90"/>
      <c r="C754" s="102" t="str">
        <f t="shared" si="151"/>
        <v>FI-JR-15-F-HT</v>
      </c>
      <c r="D754" s="91" t="s">
        <v>1100</v>
      </c>
      <c r="E754" s="103" t="s">
        <v>408</v>
      </c>
      <c r="F754" s="93"/>
      <c r="G754" s="116">
        <v>0</v>
      </c>
      <c r="H754" s="105" t="str">
        <f t="shared" si="152"/>
        <v>FI-JR-15-F-RU</v>
      </c>
      <c r="I754" s="91" t="s">
        <v>1321</v>
      </c>
      <c r="J754" s="92" t="s">
        <v>1320</v>
      </c>
      <c r="K754" s="116">
        <v>0</v>
      </c>
      <c r="L754" s="95"/>
      <c r="M754" s="95"/>
      <c r="N754" s="95"/>
      <c r="O754" s="95"/>
      <c r="P754" s="95"/>
      <c r="R754" s="89"/>
      <c r="T754" s="11" t="str">
        <f t="shared" si="155"/>
        <v>G</v>
      </c>
    </row>
    <row r="755" spans="2:20" ht="25.5" x14ac:dyDescent="0.25">
      <c r="B755" s="90"/>
      <c r="C755" s="102" t="str">
        <f t="shared" si="151"/>
        <v>FI-JR-15-F-IR</v>
      </c>
      <c r="D755" s="91" t="s">
        <v>912</v>
      </c>
      <c r="E755" s="103" t="s">
        <v>417</v>
      </c>
      <c r="F755" s="93"/>
      <c r="G755" s="116">
        <v>0</v>
      </c>
      <c r="H755" s="105" t="str">
        <f t="shared" si="152"/>
        <v>FI-JR-15-F-ZA</v>
      </c>
      <c r="I755" s="91" t="s">
        <v>1108</v>
      </c>
      <c r="J755" s="92" t="s">
        <v>513</v>
      </c>
      <c r="K755" s="116">
        <v>0</v>
      </c>
      <c r="L755" s="95"/>
      <c r="M755" s="95"/>
      <c r="N755" s="95"/>
      <c r="O755" s="95"/>
      <c r="P755" s="95"/>
      <c r="R755" s="89"/>
      <c r="T755" s="11" t="str">
        <f t="shared" si="155"/>
        <v>G</v>
      </c>
    </row>
    <row r="756" spans="2:20" x14ac:dyDescent="0.25">
      <c r="B756" s="90"/>
      <c r="C756" s="102" t="str">
        <f t="shared" si="151"/>
        <v>FI-JR-15-F-KE</v>
      </c>
      <c r="D756" s="91" t="s">
        <v>1101</v>
      </c>
      <c r="E756" s="103" t="s">
        <v>426</v>
      </c>
      <c r="F756" s="93"/>
      <c r="G756" s="116">
        <v>0</v>
      </c>
      <c r="H756" s="105" t="str">
        <f t="shared" si="152"/>
        <v>FI-JR-15-F-SS</v>
      </c>
      <c r="I756" s="91" t="s">
        <v>1089</v>
      </c>
      <c r="J756" s="92" t="s">
        <v>1088</v>
      </c>
      <c r="K756" s="99">
        <v>0</v>
      </c>
      <c r="L756" s="94"/>
      <c r="M756" s="95"/>
      <c r="N756" s="95"/>
      <c r="O756" s="95"/>
      <c r="P756" s="95"/>
      <c r="R756" s="89"/>
      <c r="T756" s="11" t="str">
        <f t="shared" si="155"/>
        <v>G</v>
      </c>
    </row>
    <row r="757" spans="2:20" ht="25.5" x14ac:dyDescent="0.25">
      <c r="B757" s="90"/>
      <c r="C757" s="102" t="str">
        <f t="shared" si="151"/>
        <v>FI-JR-15-F-KP</v>
      </c>
      <c r="D757" s="91" t="s">
        <v>1090</v>
      </c>
      <c r="E757" s="103" t="s">
        <v>428</v>
      </c>
      <c r="F757" s="96"/>
      <c r="G757" s="116">
        <v>0</v>
      </c>
      <c r="H757" s="105" t="str">
        <f t="shared" si="152"/>
        <v>FI-JR-15-F-SY</v>
      </c>
      <c r="I757" s="91" t="s">
        <v>1109</v>
      </c>
      <c r="J757" s="92" t="s">
        <v>523</v>
      </c>
      <c r="K757" s="99">
        <v>0</v>
      </c>
      <c r="L757" s="94"/>
      <c r="M757" s="95"/>
      <c r="N757" s="95"/>
      <c r="O757" s="95"/>
      <c r="P757" s="95"/>
      <c r="R757" s="89"/>
      <c r="T757" s="11" t="str">
        <f t="shared" si="155"/>
        <v>G</v>
      </c>
    </row>
    <row r="758" spans="2:20" x14ac:dyDescent="0.25">
      <c r="E758" s="52"/>
      <c r="F758" s="52"/>
      <c r="G758" s="52"/>
      <c r="H758" s="52"/>
      <c r="I758" s="52"/>
      <c r="J758" s="52"/>
      <c r="K758" s="52"/>
      <c r="L758" s="52"/>
      <c r="M758" s="52"/>
      <c r="N758" s="52"/>
      <c r="O758" s="52"/>
      <c r="P758" s="52"/>
    </row>
    <row r="759" spans="2:20" ht="37.5" customHeight="1" x14ac:dyDescent="0.25">
      <c r="D759" s="186" t="s">
        <v>1190</v>
      </c>
      <c r="E759" s="186"/>
      <c r="F759" s="186"/>
      <c r="G759" s="186"/>
      <c r="H759" s="186"/>
      <c r="I759" s="186"/>
      <c r="J759" s="186"/>
      <c r="K759" s="186"/>
      <c r="L759" s="186"/>
      <c r="M759" s="186"/>
      <c r="N759" s="186"/>
      <c r="O759" s="186"/>
      <c r="P759" s="52"/>
      <c r="R759" s="10"/>
    </row>
    <row r="760" spans="2:20" x14ac:dyDescent="0.25">
      <c r="B760" s="15" t="s">
        <v>1191</v>
      </c>
      <c r="D760" s="195" t="s">
        <v>1033</v>
      </c>
      <c r="E760" s="195"/>
      <c r="F760" s="195"/>
      <c r="G760" s="195"/>
      <c r="H760" s="195"/>
      <c r="I760" s="195"/>
      <c r="J760" s="195"/>
      <c r="K760" s="195"/>
      <c r="L760" s="195"/>
      <c r="M760" s="195"/>
      <c r="N760" s="195"/>
      <c r="O760" s="195"/>
      <c r="P760" s="115"/>
      <c r="Q760" s="75"/>
      <c r="R760" s="10"/>
    </row>
    <row r="761" spans="2:20" ht="52.5" customHeight="1" x14ac:dyDescent="0.25">
      <c r="D761" s="190" t="s">
        <v>1349</v>
      </c>
      <c r="E761" s="190"/>
      <c r="F761" s="190"/>
      <c r="G761" s="190"/>
      <c r="H761" s="190"/>
      <c r="I761" s="190"/>
      <c r="J761" s="190"/>
      <c r="K761" s="190"/>
      <c r="L761" s="190"/>
      <c r="M761" s="190"/>
      <c r="N761" s="190"/>
      <c r="O761" s="190"/>
      <c r="P761" s="190"/>
      <c r="R761" s="101"/>
    </row>
    <row r="762" spans="2:20" ht="15" customHeight="1" x14ac:dyDescent="0.25">
      <c r="B762" s="46" t="str">
        <f>B760&amp;"-M"</f>
        <v>FI-JR-18-M</v>
      </c>
      <c r="C762" s="46"/>
      <c r="D762" s="84"/>
      <c r="E762" s="189" t="s">
        <v>448</v>
      </c>
      <c r="F762" s="189"/>
      <c r="G762" s="189"/>
      <c r="H762" s="189"/>
      <c r="I762" s="189"/>
      <c r="J762" s="189"/>
      <c r="K762" s="189"/>
      <c r="L762" s="189"/>
      <c r="M762" s="189"/>
      <c r="N762" s="189"/>
      <c r="O762" s="189"/>
      <c r="P762" s="52"/>
      <c r="R762" s="67"/>
      <c r="T762" s="11" t="str">
        <f>IF(OR(AND(ISBLANK(R762),CR.30&gt;0),AND(CR.30&lt;=0,NOT(ISBLANK(R762)))),"R","G")</f>
        <v>G</v>
      </c>
    </row>
    <row r="763" spans="2:20" ht="15" customHeight="1" x14ac:dyDescent="0.25">
      <c r="B763" s="46" t="str">
        <f>B760&amp;"-E"</f>
        <v>FI-JR-18-E</v>
      </c>
      <c r="C763" s="46"/>
      <c r="D763" s="84"/>
      <c r="E763" s="189" t="s">
        <v>1084</v>
      </c>
      <c r="F763" s="189"/>
      <c r="G763" s="189"/>
      <c r="H763" s="189"/>
      <c r="I763" s="189"/>
      <c r="J763" s="189"/>
      <c r="K763" s="189"/>
      <c r="L763" s="189"/>
      <c r="M763" s="189"/>
      <c r="N763" s="189"/>
      <c r="O763" s="189"/>
      <c r="P763" s="52"/>
      <c r="R763" s="67"/>
      <c r="T763" s="11" t="str">
        <f>IF(OR(AND(ISBLANK(R763),CR.30&gt;0),AND(CR.30&lt;=0,NOT(ISBLANK(R763)))),"R","G")</f>
        <v>G</v>
      </c>
    </row>
    <row r="764" spans="2:20" ht="15" customHeight="1" x14ac:dyDescent="0.25">
      <c r="B764" s="46" t="str">
        <f>B760&amp;"-N"</f>
        <v>FI-JR-18-N</v>
      </c>
      <c r="C764" s="46"/>
      <c r="D764" s="84"/>
      <c r="E764" s="189" t="s">
        <v>1085</v>
      </c>
      <c r="F764" s="189"/>
      <c r="G764" s="189"/>
      <c r="H764" s="189"/>
      <c r="I764" s="189"/>
      <c r="J764" s="189"/>
      <c r="K764" s="189"/>
      <c r="L764" s="189"/>
      <c r="M764" s="189"/>
      <c r="N764" s="189"/>
      <c r="O764" s="189"/>
      <c r="P764" s="52"/>
      <c r="R764" s="67"/>
      <c r="T764" s="11" t="str">
        <f>IF(OR(AND(ISBLANK(R764),CR.30&gt;0),AND(CR.30&lt;=0,NOT(ISBLANK(R764)))),"R","G")</f>
        <v>G</v>
      </c>
    </row>
    <row r="765" spans="2:20" ht="27" customHeight="1" x14ac:dyDescent="0.25">
      <c r="B765" s="46" t="str">
        <f>B760&amp;"-F"</f>
        <v>FI-JR-18-F</v>
      </c>
      <c r="C765" s="46"/>
      <c r="D765" s="84"/>
      <c r="E765" s="191" t="s">
        <v>1086</v>
      </c>
      <c r="F765" s="191"/>
      <c r="G765" s="191"/>
      <c r="H765" s="191"/>
      <c r="I765" s="191"/>
      <c r="J765" s="191"/>
      <c r="K765" s="191"/>
      <c r="L765" s="191"/>
      <c r="M765" s="191"/>
      <c r="N765" s="191"/>
      <c r="O765" s="191"/>
      <c r="P765" s="86"/>
      <c r="R765" s="67"/>
      <c r="T765" s="11" t="str">
        <f>IF(OR(AND(ISBLANK(R765),CR.30&gt;0),AND(CR.30&lt;=0,NOT(ISBLANK(R765)))),"R","G")</f>
        <v>G</v>
      </c>
    </row>
    <row r="766" spans="2:20" ht="9.75" customHeight="1" x14ac:dyDescent="0.25">
      <c r="B766" s="10"/>
      <c r="C766" s="10"/>
      <c r="D766" s="10"/>
      <c r="E766" s="10"/>
      <c r="F766" s="10"/>
      <c r="G766" s="10"/>
      <c r="H766" s="10"/>
      <c r="I766" s="10"/>
      <c r="J766" s="10"/>
      <c r="K766" s="10"/>
      <c r="L766" s="10"/>
      <c r="M766" s="10"/>
      <c r="N766" s="10"/>
      <c r="O766" s="10"/>
      <c r="P766" s="10"/>
      <c r="R766" s="10"/>
    </row>
    <row r="767" spans="2:20" ht="15" customHeight="1" x14ac:dyDescent="0.25">
      <c r="B767" s="87"/>
      <c r="C767" s="87"/>
      <c r="D767" s="192" t="str">
        <f>IF(R765=0,"",IF(SUM(G768:G780,K768:K780,O768:O774)=R765,"","The totals included next to each jurisdiction do not add up to "&amp;R765&amp;", please revise the figures."))</f>
        <v/>
      </c>
      <c r="E767" s="192"/>
      <c r="F767" s="192"/>
      <c r="G767" s="192"/>
      <c r="H767" s="192"/>
      <c r="I767" s="192"/>
      <c r="J767" s="192"/>
      <c r="K767" s="192"/>
      <c r="L767" s="192"/>
      <c r="M767" s="192"/>
      <c r="N767" s="192"/>
      <c r="O767" s="192"/>
      <c r="P767" s="88"/>
      <c r="R767" s="89"/>
      <c r="T767" s="11" t="str">
        <f>IF(D767="","G","R")</f>
        <v>G</v>
      </c>
    </row>
    <row r="768" spans="2:20" ht="25.5" x14ac:dyDescent="0.25">
      <c r="B768" s="90"/>
      <c r="C768" s="102" t="str">
        <f>$B$765&amp;"-"&amp;D768</f>
        <v>FI-JR-18-F-AF</v>
      </c>
      <c r="D768" s="91" t="s">
        <v>1093</v>
      </c>
      <c r="E768" s="103" t="s">
        <v>317</v>
      </c>
      <c r="F768" s="93"/>
      <c r="G768" s="116">
        <v>0</v>
      </c>
      <c r="H768" s="105" t="str">
        <f>$B$765&amp;"-"&amp;I768</f>
        <v>FI-JR-18-F-LA</v>
      </c>
      <c r="I768" s="91" t="s">
        <v>1317</v>
      </c>
      <c r="J768" s="92" t="s">
        <v>1312</v>
      </c>
      <c r="K768" s="116">
        <v>0</v>
      </c>
      <c r="L768" s="105" t="str">
        <f>$B$765&amp;"-"&amp;M768</f>
        <v>FI-JR-18-F-TZ</v>
      </c>
      <c r="M768" s="91" t="s">
        <v>1110</v>
      </c>
      <c r="N768" s="92" t="s">
        <v>526</v>
      </c>
      <c r="O768" s="99">
        <v>0</v>
      </c>
      <c r="P768" s="95"/>
      <c r="R768" s="89"/>
      <c r="T768" s="11" t="str">
        <f>IF(OR(AND(OR(ISBLANK(G768),ISBLANK(K768),ISBLANK(O768)),$R$765&gt;0),AND($R$765&lt;=0,OR(OR(G768&lt;&gt;0,K768&lt;&gt;0,O768&lt;&gt;0)))),"R","G")</f>
        <v>G</v>
      </c>
    </row>
    <row r="769" spans="2:20" x14ac:dyDescent="0.25">
      <c r="B769" s="90"/>
      <c r="C769" s="102" t="str">
        <f t="shared" ref="C769:C780" si="156">$B$765&amp;"-"&amp;D769</f>
        <v>FI-JR-18-F-DZ</v>
      </c>
      <c r="D769" s="91" t="s">
        <v>1094</v>
      </c>
      <c r="E769" s="103" t="s">
        <v>319</v>
      </c>
      <c r="F769" s="93"/>
      <c r="G769" s="116">
        <v>0</v>
      </c>
      <c r="H769" s="105" t="str">
        <f t="shared" ref="H769:H780" si="157">$B$765&amp;"-"&amp;I769</f>
        <v>FI-JR-18-F-LB</v>
      </c>
      <c r="I769" s="91" t="s">
        <v>1102</v>
      </c>
      <c r="J769" s="92" t="s">
        <v>434</v>
      </c>
      <c r="K769" s="116">
        <v>0</v>
      </c>
      <c r="L769" s="105" t="str">
        <f t="shared" ref="L769:L774" si="158">$B$765&amp;"-"&amp;M769</f>
        <v>FI-JR-18-F-TT</v>
      </c>
      <c r="M769" s="91" t="s">
        <v>1111</v>
      </c>
      <c r="N769" s="92" t="s">
        <v>532</v>
      </c>
      <c r="O769" s="99">
        <v>0</v>
      </c>
      <c r="P769" s="95"/>
      <c r="R769" s="89"/>
      <c r="T769" s="11" t="str">
        <f t="shared" ref="T769:T774" si="159">IF(OR(AND(OR(ISBLANK(G769),ISBLANK(K769),ISBLANK(O769)),$R$765&gt;0),AND($R$765&lt;=0,OR(OR(G769&lt;&gt;0,K769&lt;&gt;0,O769&lt;&gt;0)))),"R","G")</f>
        <v>G</v>
      </c>
    </row>
    <row r="770" spans="2:20" x14ac:dyDescent="0.25">
      <c r="B770" s="90"/>
      <c r="C770" s="102" t="str">
        <f t="shared" si="156"/>
        <v>FI-JR-18-F-AO</v>
      </c>
      <c r="D770" s="91" t="s">
        <v>1095</v>
      </c>
      <c r="E770" s="103" t="s">
        <v>322</v>
      </c>
      <c r="F770" s="93"/>
      <c r="G770" s="116">
        <v>0</v>
      </c>
      <c r="H770" s="105" t="str">
        <f t="shared" si="157"/>
        <v>FI-JR-18-F-ML</v>
      </c>
      <c r="I770" s="91" t="s">
        <v>1103</v>
      </c>
      <c r="J770" s="92" t="s">
        <v>447</v>
      </c>
      <c r="K770" s="116">
        <v>0</v>
      </c>
      <c r="L770" s="105" t="str">
        <f t="shared" si="158"/>
        <v>FI-JR-18-F-VU</v>
      </c>
      <c r="M770" s="91" t="s">
        <v>1112</v>
      </c>
      <c r="N770" s="92" t="s">
        <v>546</v>
      </c>
      <c r="O770" s="99">
        <v>0</v>
      </c>
      <c r="P770" s="95"/>
      <c r="R770" s="89"/>
      <c r="T770" s="11" t="str">
        <f t="shared" si="159"/>
        <v>G</v>
      </c>
    </row>
    <row r="771" spans="2:20" x14ac:dyDescent="0.25">
      <c r="B771" s="90"/>
      <c r="C771" s="102" t="str">
        <f t="shared" si="156"/>
        <v>FI-JR-18-F-BO</v>
      </c>
      <c r="D771" s="91" t="s">
        <v>1316</v>
      </c>
      <c r="E771" s="103" t="s">
        <v>342</v>
      </c>
      <c r="F771" s="93"/>
      <c r="G771" s="116">
        <v>0</v>
      </c>
      <c r="H771" s="105" t="str">
        <f t="shared" si="157"/>
        <v>FI-JR-18-F-MN</v>
      </c>
      <c r="I771" s="91" t="s">
        <v>1315</v>
      </c>
      <c r="J771" s="92" t="s">
        <v>457</v>
      </c>
      <c r="K771" s="116">
        <v>0</v>
      </c>
      <c r="L771" s="105" t="str">
        <f t="shared" si="158"/>
        <v>FI-JR-18-F-VE</v>
      </c>
      <c r="M771" s="91" t="s">
        <v>1113</v>
      </c>
      <c r="N771" s="92" t="s">
        <v>547</v>
      </c>
      <c r="O771" s="99">
        <v>0</v>
      </c>
      <c r="P771" s="95"/>
      <c r="R771" s="89"/>
      <c r="T771" s="11" t="str">
        <f t="shared" si="159"/>
        <v>G</v>
      </c>
    </row>
    <row r="772" spans="2:20" x14ac:dyDescent="0.25">
      <c r="B772" s="90"/>
      <c r="C772" s="102" t="str">
        <f t="shared" si="156"/>
        <v>FI-JR-18-F-BG</v>
      </c>
      <c r="D772" s="91" t="s">
        <v>1096</v>
      </c>
      <c r="E772" s="103" t="s">
        <v>349</v>
      </c>
      <c r="F772" s="93"/>
      <c r="G772" s="116">
        <v>0</v>
      </c>
      <c r="H772" s="105" t="str">
        <f t="shared" si="157"/>
        <v>FI-JR-18-F-MZ</v>
      </c>
      <c r="I772" s="91" t="s">
        <v>1104</v>
      </c>
      <c r="J772" s="92" t="s">
        <v>461</v>
      </c>
      <c r="K772" s="116">
        <v>0</v>
      </c>
      <c r="L772" s="105" t="str">
        <f t="shared" si="158"/>
        <v>FI-JR-18-F-VN</v>
      </c>
      <c r="M772" s="91" t="s">
        <v>1114</v>
      </c>
      <c r="N772" s="92" t="s">
        <v>1313</v>
      </c>
      <c r="O772" s="99">
        <v>0</v>
      </c>
      <c r="P772" s="95"/>
      <c r="R772" s="89"/>
      <c r="T772" s="11" t="str">
        <f t="shared" si="159"/>
        <v>G</v>
      </c>
    </row>
    <row r="773" spans="2:20" x14ac:dyDescent="0.25">
      <c r="B773" s="90"/>
      <c r="C773" s="102" t="str">
        <f t="shared" si="156"/>
        <v>FI-JR-18-F-BF</v>
      </c>
      <c r="D773" s="91" t="s">
        <v>1097</v>
      </c>
      <c r="E773" s="103" t="s">
        <v>350</v>
      </c>
      <c r="F773" s="93"/>
      <c r="G773" s="116">
        <v>0</v>
      </c>
      <c r="H773" s="105" t="str">
        <f t="shared" si="157"/>
        <v>FI-JR-18-F-MM</v>
      </c>
      <c r="I773" s="91" t="s">
        <v>1105</v>
      </c>
      <c r="J773" s="92" t="s">
        <v>462</v>
      </c>
      <c r="K773" s="116">
        <v>0</v>
      </c>
      <c r="L773" s="105" t="str">
        <f t="shared" si="158"/>
        <v>FI-JR-18-F-VI</v>
      </c>
      <c r="M773" s="91" t="s">
        <v>1319</v>
      </c>
      <c r="N773" s="92" t="s">
        <v>1314</v>
      </c>
      <c r="O773" s="99">
        <v>0</v>
      </c>
      <c r="P773" s="95"/>
      <c r="R773" s="89"/>
      <c r="T773" s="11" t="str">
        <f t="shared" si="159"/>
        <v>G</v>
      </c>
    </row>
    <row r="774" spans="2:20" x14ac:dyDescent="0.25">
      <c r="B774" s="90"/>
      <c r="C774" s="102" t="str">
        <f t="shared" si="156"/>
        <v>FI-JR-18-F-CM</v>
      </c>
      <c r="D774" s="91" t="s">
        <v>1098</v>
      </c>
      <c r="E774" s="103" t="s">
        <v>353</v>
      </c>
      <c r="F774" s="93"/>
      <c r="G774" s="116">
        <v>0</v>
      </c>
      <c r="H774" s="105" t="str">
        <f t="shared" si="157"/>
        <v>FI-JR-18-F-NA</v>
      </c>
      <c r="I774" s="91" t="s">
        <v>1106</v>
      </c>
      <c r="J774" s="92" t="s">
        <v>463</v>
      </c>
      <c r="K774" s="116">
        <v>0</v>
      </c>
      <c r="L774" s="105" t="str">
        <f t="shared" si="158"/>
        <v>FI-JR-18-F-YE</v>
      </c>
      <c r="M774" s="91" t="s">
        <v>1115</v>
      </c>
      <c r="N774" s="92" t="s">
        <v>553</v>
      </c>
      <c r="O774" s="99">
        <v>0</v>
      </c>
      <c r="P774" s="95"/>
      <c r="R774" s="89"/>
      <c r="T774" s="11" t="str">
        <f t="shared" si="159"/>
        <v>G</v>
      </c>
    </row>
    <row r="775" spans="2:20" ht="38.25" x14ac:dyDescent="0.25">
      <c r="B775" s="90"/>
      <c r="C775" s="102" t="str">
        <f t="shared" si="156"/>
        <v>FI-JR-18-F-CD</v>
      </c>
      <c r="D775" s="91" t="s">
        <v>1099</v>
      </c>
      <c r="E775" s="103" t="s">
        <v>366</v>
      </c>
      <c r="F775" s="93"/>
      <c r="G775" s="116">
        <v>0</v>
      </c>
      <c r="H775" s="105" t="str">
        <f t="shared" si="157"/>
        <v>FI-JR-18-F-NP</v>
      </c>
      <c r="I775" s="91" t="s">
        <v>1318</v>
      </c>
      <c r="J775" s="92" t="s">
        <v>465</v>
      </c>
      <c r="K775" s="116">
        <v>0</v>
      </c>
      <c r="L775" s="10"/>
      <c r="M775" s="10"/>
      <c r="N775" s="10"/>
      <c r="O775" s="10"/>
      <c r="P775" s="95"/>
      <c r="R775" s="89"/>
      <c r="T775" s="11" t="str">
        <f t="shared" ref="T775:T780" si="160">IF(OR(AND(OR(ISBLANK(G775),ISBLANK(K775)),$R$765&gt;0),AND($R$765&lt;=0,OR(OR(G775&lt;&gt;0,K775&lt;&gt;0)))),"R","G")</f>
        <v>G</v>
      </c>
    </row>
    <row r="776" spans="2:20" x14ac:dyDescent="0.25">
      <c r="B776" s="90"/>
      <c r="C776" s="102" t="str">
        <f t="shared" si="156"/>
        <v>FI-JR-18-F-CI</v>
      </c>
      <c r="D776" s="91" t="s">
        <v>1091</v>
      </c>
      <c r="E776" s="103" t="s">
        <v>369</v>
      </c>
      <c r="F776" s="93"/>
      <c r="G776" s="116">
        <v>0</v>
      </c>
      <c r="H776" s="105" t="str">
        <f t="shared" si="157"/>
        <v>FI-JR-18-F-NG</v>
      </c>
      <c r="I776" s="91" t="s">
        <v>1107</v>
      </c>
      <c r="J776" s="92" t="s">
        <v>472</v>
      </c>
      <c r="K776" s="116">
        <v>0</v>
      </c>
      <c r="L776" s="10"/>
      <c r="M776" s="10"/>
      <c r="N776" s="10"/>
      <c r="O776" s="10"/>
      <c r="P776" s="95"/>
      <c r="R776" s="89"/>
      <c r="T776" s="11" t="str">
        <f t="shared" si="160"/>
        <v>G</v>
      </c>
    </row>
    <row r="777" spans="2:20" x14ac:dyDescent="0.25">
      <c r="B777" s="90"/>
      <c r="C777" s="102" t="str">
        <f t="shared" si="156"/>
        <v>FI-JR-18-F-HT</v>
      </c>
      <c r="D777" s="91" t="s">
        <v>1100</v>
      </c>
      <c r="E777" s="103" t="s">
        <v>408</v>
      </c>
      <c r="F777" s="93"/>
      <c r="G777" s="116">
        <v>0</v>
      </c>
      <c r="H777" s="105" t="str">
        <f t="shared" si="157"/>
        <v>FI-JR-18-F-RU</v>
      </c>
      <c r="I777" s="91" t="s">
        <v>1321</v>
      </c>
      <c r="J777" s="92" t="s">
        <v>1320</v>
      </c>
      <c r="K777" s="116">
        <v>0</v>
      </c>
      <c r="L777" s="10"/>
      <c r="M777" s="10"/>
      <c r="N777" s="10"/>
      <c r="O777" s="10"/>
      <c r="P777" s="95"/>
      <c r="R777" s="89"/>
      <c r="T777" s="11" t="str">
        <f t="shared" si="160"/>
        <v>G</v>
      </c>
    </row>
    <row r="778" spans="2:20" ht="25.5" x14ac:dyDescent="0.25">
      <c r="B778" s="90"/>
      <c r="C778" s="102" t="str">
        <f t="shared" si="156"/>
        <v>FI-JR-18-F-IR</v>
      </c>
      <c r="D778" s="91" t="s">
        <v>912</v>
      </c>
      <c r="E778" s="103" t="s">
        <v>417</v>
      </c>
      <c r="F778" s="93"/>
      <c r="G778" s="116">
        <v>0</v>
      </c>
      <c r="H778" s="105" t="str">
        <f t="shared" si="157"/>
        <v>FI-JR-18-F-ZA</v>
      </c>
      <c r="I778" s="91" t="s">
        <v>1108</v>
      </c>
      <c r="J778" s="92" t="s">
        <v>513</v>
      </c>
      <c r="K778" s="116">
        <v>0</v>
      </c>
      <c r="L778" s="10"/>
      <c r="M778" s="10"/>
      <c r="N778" s="10"/>
      <c r="O778" s="10"/>
      <c r="P778" s="95"/>
      <c r="R778" s="89"/>
      <c r="T778" s="11" t="str">
        <f t="shared" si="160"/>
        <v>G</v>
      </c>
    </row>
    <row r="779" spans="2:20" x14ac:dyDescent="0.25">
      <c r="B779" s="90"/>
      <c r="C779" s="102" t="str">
        <f t="shared" si="156"/>
        <v>FI-JR-18-F-KE</v>
      </c>
      <c r="D779" s="91" t="s">
        <v>1101</v>
      </c>
      <c r="E779" s="103" t="s">
        <v>426</v>
      </c>
      <c r="F779" s="93"/>
      <c r="G779" s="116">
        <v>0</v>
      </c>
      <c r="H779" s="105" t="str">
        <f t="shared" si="157"/>
        <v>FI-JR-18-F-SS</v>
      </c>
      <c r="I779" s="91" t="s">
        <v>1089</v>
      </c>
      <c r="J779" s="92" t="s">
        <v>1088</v>
      </c>
      <c r="K779" s="99">
        <v>0</v>
      </c>
      <c r="L779" s="94"/>
      <c r="M779" s="95"/>
      <c r="N779" s="95"/>
      <c r="O779" s="95"/>
      <c r="P779" s="95"/>
      <c r="R779" s="89"/>
      <c r="T779" s="11" t="str">
        <f t="shared" si="160"/>
        <v>G</v>
      </c>
    </row>
    <row r="780" spans="2:20" ht="25.5" x14ac:dyDescent="0.25">
      <c r="B780" s="90"/>
      <c r="C780" s="102" t="str">
        <f t="shared" si="156"/>
        <v>FI-JR-18-F-KP</v>
      </c>
      <c r="D780" s="91" t="s">
        <v>1090</v>
      </c>
      <c r="E780" s="103" t="s">
        <v>428</v>
      </c>
      <c r="F780" s="96"/>
      <c r="G780" s="116">
        <v>0</v>
      </c>
      <c r="H780" s="105" t="str">
        <f t="shared" si="157"/>
        <v>FI-JR-18-F-SY</v>
      </c>
      <c r="I780" s="91" t="s">
        <v>1109</v>
      </c>
      <c r="J780" s="92" t="s">
        <v>523</v>
      </c>
      <c r="K780" s="99">
        <v>0</v>
      </c>
      <c r="L780" s="94"/>
      <c r="M780" s="95"/>
      <c r="N780" s="95"/>
      <c r="O780" s="95"/>
      <c r="P780" s="95"/>
      <c r="R780" s="89"/>
      <c r="T780" s="11" t="str">
        <f t="shared" si="160"/>
        <v>G</v>
      </c>
    </row>
    <row r="781" spans="2:20" x14ac:dyDescent="0.25">
      <c r="E781" s="52"/>
      <c r="F781" s="52"/>
      <c r="G781" s="52"/>
      <c r="H781" s="52"/>
      <c r="I781" s="52"/>
      <c r="J781" s="52"/>
      <c r="K781" s="52"/>
      <c r="L781" s="52"/>
      <c r="M781" s="52"/>
      <c r="N781" s="52"/>
      <c r="O781" s="52"/>
      <c r="P781" s="52"/>
    </row>
    <row r="782" spans="2:20" x14ac:dyDescent="0.25">
      <c r="B782" s="15" t="s">
        <v>1192</v>
      </c>
      <c r="D782" s="195" t="s">
        <v>842</v>
      </c>
      <c r="E782" s="195"/>
      <c r="F782" s="195"/>
      <c r="G782" s="195"/>
      <c r="H782" s="195"/>
      <c r="I782" s="195"/>
      <c r="J782" s="195"/>
      <c r="K782" s="195"/>
      <c r="L782" s="195"/>
      <c r="M782" s="195"/>
      <c r="N782" s="195"/>
      <c r="O782" s="195"/>
    </row>
    <row r="783" spans="2:20" ht="52.5" customHeight="1" x14ac:dyDescent="0.25">
      <c r="D783" s="190" t="s">
        <v>1349</v>
      </c>
      <c r="E783" s="190"/>
      <c r="F783" s="190"/>
      <c r="G783" s="190"/>
      <c r="H783" s="190"/>
      <c r="I783" s="190"/>
      <c r="J783" s="190"/>
      <c r="K783" s="190"/>
      <c r="L783" s="190"/>
      <c r="M783" s="190"/>
      <c r="N783" s="190"/>
      <c r="O783" s="190"/>
      <c r="P783" s="190"/>
      <c r="R783" s="101"/>
    </row>
    <row r="784" spans="2:20" ht="15" customHeight="1" x14ac:dyDescent="0.25">
      <c r="B784" s="46" t="str">
        <f>B782&amp;"-M"</f>
        <v>FI-JR-19-M</v>
      </c>
      <c r="C784" s="46"/>
      <c r="D784" s="84"/>
      <c r="E784" s="189" t="s">
        <v>448</v>
      </c>
      <c r="F784" s="189"/>
      <c r="G784" s="189"/>
      <c r="H784" s="189"/>
      <c r="I784" s="189"/>
      <c r="J784" s="189"/>
      <c r="K784" s="189"/>
      <c r="L784" s="189"/>
      <c r="M784" s="189"/>
      <c r="N784" s="189"/>
      <c r="O784" s="189"/>
      <c r="P784" s="52"/>
      <c r="R784" s="67"/>
      <c r="T784" s="11" t="str">
        <f>IF(OR(AND(ISBLANK(R784),CR.33&gt;0),AND(CR.33&lt;=0,NOT(ISBLANK(R784)))),"R","G")</f>
        <v>G</v>
      </c>
    </row>
    <row r="785" spans="2:20" ht="15" customHeight="1" x14ac:dyDescent="0.25">
      <c r="B785" s="46" t="str">
        <f>B782&amp;"-E"</f>
        <v>FI-JR-19-E</v>
      </c>
      <c r="C785" s="46"/>
      <c r="D785" s="84"/>
      <c r="E785" s="189" t="s">
        <v>1084</v>
      </c>
      <c r="F785" s="189"/>
      <c r="G785" s="189"/>
      <c r="H785" s="189"/>
      <c r="I785" s="189"/>
      <c r="J785" s="189"/>
      <c r="K785" s="189"/>
      <c r="L785" s="189"/>
      <c r="M785" s="189"/>
      <c r="N785" s="189"/>
      <c r="O785" s="189"/>
      <c r="P785" s="52"/>
      <c r="R785" s="67"/>
      <c r="T785" s="11" t="str">
        <f>IF(OR(AND(ISBLANK(R785),CR.33&gt;0),AND(CR.33&lt;=0,NOT(ISBLANK(R785)))),"R","G")</f>
        <v>G</v>
      </c>
    </row>
    <row r="786" spans="2:20" ht="15" customHeight="1" x14ac:dyDescent="0.25">
      <c r="B786" s="46" t="str">
        <f>B782&amp;"-N"</f>
        <v>FI-JR-19-N</v>
      </c>
      <c r="C786" s="46"/>
      <c r="D786" s="84"/>
      <c r="E786" s="189" t="s">
        <v>1085</v>
      </c>
      <c r="F786" s="189"/>
      <c r="G786" s="189"/>
      <c r="H786" s="189"/>
      <c r="I786" s="189"/>
      <c r="J786" s="189"/>
      <c r="K786" s="189"/>
      <c r="L786" s="189"/>
      <c r="M786" s="189"/>
      <c r="N786" s="189"/>
      <c r="O786" s="189"/>
      <c r="P786" s="52"/>
      <c r="R786" s="67"/>
      <c r="T786" s="11" t="str">
        <f>IF(OR(AND(ISBLANK(R786),CR.33&gt;0),AND(CR.33&lt;=0,NOT(ISBLANK(R786)))),"R","G")</f>
        <v>G</v>
      </c>
    </row>
    <row r="787" spans="2:20" ht="27" customHeight="1" x14ac:dyDescent="0.25">
      <c r="B787" s="46" t="str">
        <f>B782&amp;"-F"</f>
        <v>FI-JR-19-F</v>
      </c>
      <c r="C787" s="46"/>
      <c r="D787" s="84"/>
      <c r="E787" s="191" t="s">
        <v>1086</v>
      </c>
      <c r="F787" s="191"/>
      <c r="G787" s="191"/>
      <c r="H787" s="191"/>
      <c r="I787" s="191"/>
      <c r="J787" s="191"/>
      <c r="K787" s="191"/>
      <c r="L787" s="191"/>
      <c r="M787" s="191"/>
      <c r="N787" s="191"/>
      <c r="O787" s="191"/>
      <c r="P787" s="86"/>
      <c r="R787" s="67"/>
      <c r="T787" s="11" t="str">
        <f>IF(OR(AND(ISBLANK(R787),CR.33&gt;0),AND(CR.33&lt;=0,NOT(ISBLANK(R787)))),"R","G")</f>
        <v>G</v>
      </c>
    </row>
    <row r="788" spans="2:20" ht="9.75" customHeight="1" x14ac:dyDescent="0.25">
      <c r="B788" s="10"/>
      <c r="C788" s="10"/>
      <c r="D788" s="10"/>
      <c r="E788" s="10"/>
      <c r="F788" s="10"/>
      <c r="G788" s="10"/>
      <c r="H788" s="10"/>
      <c r="I788" s="10"/>
      <c r="J788" s="10"/>
      <c r="K788" s="10"/>
      <c r="L788" s="10"/>
      <c r="M788" s="10"/>
      <c r="N788" s="10"/>
      <c r="O788" s="10"/>
      <c r="P788" s="10"/>
      <c r="R788" s="10"/>
    </row>
    <row r="789" spans="2:20" ht="15" customHeight="1" x14ac:dyDescent="0.25">
      <c r="B789" s="87"/>
      <c r="C789" s="87"/>
      <c r="D789" s="192" t="str">
        <f>IF(R787=0,"",IF(SUM(G790:G802,K790:K802,O790:O796)=R787,"","The totals included next to each jurisdiction do not add up to "&amp;R787&amp;", please revise the figures."))</f>
        <v/>
      </c>
      <c r="E789" s="192"/>
      <c r="F789" s="192"/>
      <c r="G789" s="192"/>
      <c r="H789" s="192"/>
      <c r="I789" s="192"/>
      <c r="J789" s="192"/>
      <c r="K789" s="192"/>
      <c r="L789" s="192"/>
      <c r="M789" s="192"/>
      <c r="N789" s="192"/>
      <c r="O789" s="192"/>
      <c r="P789" s="88"/>
      <c r="R789" s="89"/>
      <c r="T789" s="11" t="str">
        <f>IF(D789="","G","R")</f>
        <v>G</v>
      </c>
    </row>
    <row r="790" spans="2:20" ht="25.5" x14ac:dyDescent="0.25">
      <c r="B790" s="90"/>
      <c r="C790" s="102" t="str">
        <f>$B$787&amp;"-"&amp;D790</f>
        <v>FI-JR-19-F-AF</v>
      </c>
      <c r="D790" s="91" t="s">
        <v>1093</v>
      </c>
      <c r="E790" s="103" t="s">
        <v>317</v>
      </c>
      <c r="F790" s="93"/>
      <c r="G790" s="116">
        <v>0</v>
      </c>
      <c r="H790" s="105" t="str">
        <f>$B$787&amp;"-"&amp;I790</f>
        <v>FI-JR-19-F-LA</v>
      </c>
      <c r="I790" s="91" t="s">
        <v>1317</v>
      </c>
      <c r="J790" s="92" t="s">
        <v>1312</v>
      </c>
      <c r="K790" s="116">
        <v>0</v>
      </c>
      <c r="L790" s="105" t="str">
        <f>$B$787&amp;"-"&amp;M790</f>
        <v>FI-JR-19-F-TZ</v>
      </c>
      <c r="M790" s="91" t="s">
        <v>1110</v>
      </c>
      <c r="N790" s="92" t="s">
        <v>526</v>
      </c>
      <c r="O790" s="99">
        <v>0</v>
      </c>
      <c r="P790" s="95"/>
      <c r="R790" s="89"/>
      <c r="T790" s="11" t="str">
        <f>IF(OR(AND(OR(ISBLANK(G790),ISBLANK(K790),ISBLANK(O790)),$R$787&gt;0),AND($R$787&lt;=0,OR(OR(G790&lt;&gt;0,K790&lt;&gt;0,O790&lt;&gt;0)))),"R","G")</f>
        <v>G</v>
      </c>
    </row>
    <row r="791" spans="2:20" x14ac:dyDescent="0.25">
      <c r="B791" s="90"/>
      <c r="C791" s="102" t="str">
        <f t="shared" ref="C791:C802" si="161">$B$787&amp;"-"&amp;D791</f>
        <v>FI-JR-19-F-DZ</v>
      </c>
      <c r="D791" s="91" t="s">
        <v>1094</v>
      </c>
      <c r="E791" s="103" t="s">
        <v>319</v>
      </c>
      <c r="F791" s="93"/>
      <c r="G791" s="116">
        <v>0</v>
      </c>
      <c r="H791" s="105" t="str">
        <f t="shared" ref="H791:H802" si="162">$B$787&amp;"-"&amp;I791</f>
        <v>FI-JR-19-F-LB</v>
      </c>
      <c r="I791" s="91" t="s">
        <v>1102</v>
      </c>
      <c r="J791" s="92" t="s">
        <v>434</v>
      </c>
      <c r="K791" s="116">
        <v>0</v>
      </c>
      <c r="L791" s="105" t="str">
        <f t="shared" ref="L791:L796" si="163">$B$787&amp;"-"&amp;M791</f>
        <v>FI-JR-19-F-TT</v>
      </c>
      <c r="M791" s="91" t="s">
        <v>1111</v>
      </c>
      <c r="N791" s="92" t="s">
        <v>532</v>
      </c>
      <c r="O791" s="99">
        <v>0</v>
      </c>
      <c r="P791" s="95"/>
      <c r="R791" s="89"/>
      <c r="T791" s="11" t="str">
        <f t="shared" ref="T791:T796" si="164">IF(OR(AND(OR(ISBLANK(G791),ISBLANK(K791),ISBLANK(O791)),$R$787&gt;0),AND($R$787&lt;=0,OR(OR(G791&lt;&gt;0,K791&lt;&gt;0,O791&lt;&gt;0)))),"R","G")</f>
        <v>G</v>
      </c>
    </row>
    <row r="792" spans="2:20" x14ac:dyDescent="0.25">
      <c r="B792" s="90"/>
      <c r="C792" s="102" t="str">
        <f t="shared" si="161"/>
        <v>FI-JR-19-F-AO</v>
      </c>
      <c r="D792" s="91" t="s">
        <v>1095</v>
      </c>
      <c r="E792" s="103" t="s">
        <v>322</v>
      </c>
      <c r="F792" s="93"/>
      <c r="G792" s="116">
        <v>0</v>
      </c>
      <c r="H792" s="105" t="str">
        <f t="shared" si="162"/>
        <v>FI-JR-19-F-ML</v>
      </c>
      <c r="I792" s="91" t="s">
        <v>1103</v>
      </c>
      <c r="J792" s="92" t="s">
        <v>447</v>
      </c>
      <c r="K792" s="116">
        <v>0</v>
      </c>
      <c r="L792" s="105" t="str">
        <f t="shared" si="163"/>
        <v>FI-JR-19-F-VU</v>
      </c>
      <c r="M792" s="91" t="s">
        <v>1112</v>
      </c>
      <c r="N792" s="92" t="s">
        <v>546</v>
      </c>
      <c r="O792" s="99">
        <v>0</v>
      </c>
      <c r="P792" s="95"/>
      <c r="R792" s="89"/>
      <c r="T792" s="11" t="str">
        <f t="shared" si="164"/>
        <v>G</v>
      </c>
    </row>
    <row r="793" spans="2:20" x14ac:dyDescent="0.25">
      <c r="B793" s="90"/>
      <c r="C793" s="102" t="str">
        <f t="shared" si="161"/>
        <v>FI-JR-19-F-BO</v>
      </c>
      <c r="D793" s="91" t="s">
        <v>1316</v>
      </c>
      <c r="E793" s="103" t="s">
        <v>342</v>
      </c>
      <c r="F793" s="93"/>
      <c r="G793" s="116">
        <v>0</v>
      </c>
      <c r="H793" s="105" t="str">
        <f t="shared" si="162"/>
        <v>FI-JR-19-F-MN</v>
      </c>
      <c r="I793" s="91" t="s">
        <v>1315</v>
      </c>
      <c r="J793" s="92" t="s">
        <v>457</v>
      </c>
      <c r="K793" s="116">
        <v>0</v>
      </c>
      <c r="L793" s="105" t="str">
        <f t="shared" si="163"/>
        <v>FI-JR-19-F-VE</v>
      </c>
      <c r="M793" s="91" t="s">
        <v>1113</v>
      </c>
      <c r="N793" s="92" t="s">
        <v>547</v>
      </c>
      <c r="O793" s="99">
        <v>0</v>
      </c>
      <c r="P793" s="95"/>
      <c r="R793" s="89"/>
      <c r="T793" s="11" t="str">
        <f t="shared" si="164"/>
        <v>G</v>
      </c>
    </row>
    <row r="794" spans="2:20" x14ac:dyDescent="0.25">
      <c r="B794" s="90"/>
      <c r="C794" s="102" t="str">
        <f t="shared" si="161"/>
        <v>FI-JR-19-F-BG</v>
      </c>
      <c r="D794" s="91" t="s">
        <v>1096</v>
      </c>
      <c r="E794" s="103" t="s">
        <v>349</v>
      </c>
      <c r="F794" s="93"/>
      <c r="G794" s="116">
        <v>0</v>
      </c>
      <c r="H794" s="105" t="str">
        <f t="shared" si="162"/>
        <v>FI-JR-19-F-MZ</v>
      </c>
      <c r="I794" s="91" t="s">
        <v>1104</v>
      </c>
      <c r="J794" s="92" t="s">
        <v>461</v>
      </c>
      <c r="K794" s="116">
        <v>0</v>
      </c>
      <c r="L794" s="105" t="str">
        <f t="shared" si="163"/>
        <v>FI-JR-19-F-VN</v>
      </c>
      <c r="M794" s="91" t="s">
        <v>1114</v>
      </c>
      <c r="N794" s="92" t="s">
        <v>1313</v>
      </c>
      <c r="O794" s="99">
        <v>0</v>
      </c>
      <c r="P794" s="95"/>
      <c r="R794" s="89"/>
      <c r="T794" s="11" t="str">
        <f t="shared" si="164"/>
        <v>G</v>
      </c>
    </row>
    <row r="795" spans="2:20" x14ac:dyDescent="0.25">
      <c r="B795" s="90"/>
      <c r="C795" s="102" t="str">
        <f t="shared" si="161"/>
        <v>FI-JR-19-F-BF</v>
      </c>
      <c r="D795" s="91" t="s">
        <v>1097</v>
      </c>
      <c r="E795" s="103" t="s">
        <v>350</v>
      </c>
      <c r="F795" s="93"/>
      <c r="G795" s="116">
        <v>0</v>
      </c>
      <c r="H795" s="105" t="str">
        <f t="shared" si="162"/>
        <v>FI-JR-19-F-MM</v>
      </c>
      <c r="I795" s="91" t="s">
        <v>1105</v>
      </c>
      <c r="J795" s="92" t="s">
        <v>462</v>
      </c>
      <c r="K795" s="116">
        <v>0</v>
      </c>
      <c r="L795" s="105" t="str">
        <f t="shared" si="163"/>
        <v>FI-JR-19-F-VI</v>
      </c>
      <c r="M795" s="91" t="s">
        <v>1319</v>
      </c>
      <c r="N795" s="92" t="s">
        <v>1314</v>
      </c>
      <c r="O795" s="99">
        <v>0</v>
      </c>
      <c r="P795" s="95"/>
      <c r="R795" s="89"/>
      <c r="T795" s="11" t="str">
        <f t="shared" si="164"/>
        <v>G</v>
      </c>
    </row>
    <row r="796" spans="2:20" x14ac:dyDescent="0.25">
      <c r="B796" s="90"/>
      <c r="C796" s="102" t="str">
        <f t="shared" si="161"/>
        <v>FI-JR-19-F-CM</v>
      </c>
      <c r="D796" s="91" t="s">
        <v>1098</v>
      </c>
      <c r="E796" s="103" t="s">
        <v>353</v>
      </c>
      <c r="F796" s="93"/>
      <c r="G796" s="116">
        <v>0</v>
      </c>
      <c r="H796" s="105" t="str">
        <f t="shared" si="162"/>
        <v>FI-JR-19-F-NA</v>
      </c>
      <c r="I796" s="91" t="s">
        <v>1106</v>
      </c>
      <c r="J796" s="92" t="s">
        <v>463</v>
      </c>
      <c r="K796" s="116">
        <v>0</v>
      </c>
      <c r="L796" s="105" t="str">
        <f t="shared" si="163"/>
        <v>FI-JR-19-F-YE</v>
      </c>
      <c r="M796" s="91" t="s">
        <v>1115</v>
      </c>
      <c r="N796" s="92" t="s">
        <v>553</v>
      </c>
      <c r="O796" s="99">
        <v>0</v>
      </c>
      <c r="P796" s="95"/>
      <c r="R796" s="89"/>
      <c r="T796" s="11" t="str">
        <f t="shared" si="164"/>
        <v>G</v>
      </c>
    </row>
    <row r="797" spans="2:20" ht="38.25" x14ac:dyDescent="0.25">
      <c r="B797" s="90"/>
      <c r="C797" s="102" t="str">
        <f t="shared" si="161"/>
        <v>FI-JR-19-F-CD</v>
      </c>
      <c r="D797" s="91" t="s">
        <v>1099</v>
      </c>
      <c r="E797" s="103" t="s">
        <v>366</v>
      </c>
      <c r="F797" s="93"/>
      <c r="G797" s="116">
        <v>0</v>
      </c>
      <c r="H797" s="105" t="str">
        <f t="shared" si="162"/>
        <v>FI-JR-19-F-NP</v>
      </c>
      <c r="I797" s="91" t="s">
        <v>1318</v>
      </c>
      <c r="J797" s="92" t="s">
        <v>465</v>
      </c>
      <c r="K797" s="116">
        <v>0</v>
      </c>
      <c r="L797" s="95"/>
      <c r="M797" s="95"/>
      <c r="N797" s="95"/>
      <c r="O797" s="95"/>
      <c r="P797" s="95"/>
      <c r="R797" s="89"/>
      <c r="T797" s="11" t="str">
        <f t="shared" ref="T797:T802" si="165">IF(OR(AND(OR(ISBLANK(G797),ISBLANK(K797)),$R$787&gt;0),AND($R$787&lt;=0,OR(OR(G797&lt;&gt;0,K797&lt;&gt;0)))),"R","G")</f>
        <v>G</v>
      </c>
    </row>
    <row r="798" spans="2:20" x14ac:dyDescent="0.25">
      <c r="B798" s="90"/>
      <c r="C798" s="102" t="str">
        <f t="shared" si="161"/>
        <v>FI-JR-19-F-CI</v>
      </c>
      <c r="D798" s="91" t="s">
        <v>1091</v>
      </c>
      <c r="E798" s="103" t="s">
        <v>369</v>
      </c>
      <c r="F798" s="93"/>
      <c r="G798" s="116">
        <v>0</v>
      </c>
      <c r="H798" s="105" t="str">
        <f t="shared" si="162"/>
        <v>FI-JR-19-F-NG</v>
      </c>
      <c r="I798" s="91" t="s">
        <v>1107</v>
      </c>
      <c r="J798" s="92" t="s">
        <v>472</v>
      </c>
      <c r="K798" s="116">
        <v>0</v>
      </c>
      <c r="L798" s="95"/>
      <c r="M798" s="95"/>
      <c r="N798" s="95"/>
      <c r="O798" s="95"/>
      <c r="P798" s="95"/>
      <c r="R798" s="89"/>
      <c r="T798" s="11" t="str">
        <f t="shared" si="165"/>
        <v>G</v>
      </c>
    </row>
    <row r="799" spans="2:20" x14ac:dyDescent="0.25">
      <c r="B799" s="90"/>
      <c r="C799" s="102" t="str">
        <f t="shared" si="161"/>
        <v>FI-JR-19-F-HT</v>
      </c>
      <c r="D799" s="91" t="s">
        <v>1100</v>
      </c>
      <c r="E799" s="103" t="s">
        <v>408</v>
      </c>
      <c r="F799" s="93"/>
      <c r="G799" s="116">
        <v>0</v>
      </c>
      <c r="H799" s="105" t="str">
        <f t="shared" si="162"/>
        <v>FI-JR-19-F-RU</v>
      </c>
      <c r="I799" s="91" t="s">
        <v>1321</v>
      </c>
      <c r="J799" s="92" t="s">
        <v>1320</v>
      </c>
      <c r="K799" s="116">
        <v>0</v>
      </c>
      <c r="L799" s="95"/>
      <c r="M799" s="95"/>
      <c r="N799" s="95"/>
      <c r="O799" s="95"/>
      <c r="P799" s="95"/>
      <c r="R799" s="89"/>
      <c r="T799" s="11" t="str">
        <f t="shared" si="165"/>
        <v>G</v>
      </c>
    </row>
    <row r="800" spans="2:20" ht="25.5" x14ac:dyDescent="0.25">
      <c r="B800" s="90"/>
      <c r="C800" s="102" t="str">
        <f>$B$787&amp;"-"&amp;D800</f>
        <v>FI-JR-19-F-IR</v>
      </c>
      <c r="D800" s="91" t="s">
        <v>912</v>
      </c>
      <c r="E800" s="103" t="s">
        <v>417</v>
      </c>
      <c r="F800" s="93"/>
      <c r="G800" s="116">
        <v>0</v>
      </c>
      <c r="H800" s="105" t="str">
        <f t="shared" si="162"/>
        <v>FI-JR-19-F-ZA</v>
      </c>
      <c r="I800" s="91" t="s">
        <v>1108</v>
      </c>
      <c r="J800" s="92" t="s">
        <v>513</v>
      </c>
      <c r="K800" s="116">
        <v>0</v>
      </c>
      <c r="L800" s="95"/>
      <c r="M800" s="95"/>
      <c r="N800" s="95"/>
      <c r="O800" s="95"/>
      <c r="P800" s="95"/>
      <c r="R800" s="89"/>
      <c r="T800" s="11" t="str">
        <f t="shared" si="165"/>
        <v>G</v>
      </c>
    </row>
    <row r="801" spans="2:20" x14ac:dyDescent="0.25">
      <c r="B801" s="90"/>
      <c r="C801" s="102" t="str">
        <f t="shared" si="161"/>
        <v>FI-JR-19-F-KE</v>
      </c>
      <c r="D801" s="91" t="s">
        <v>1101</v>
      </c>
      <c r="E801" s="103" t="s">
        <v>426</v>
      </c>
      <c r="F801" s="93"/>
      <c r="G801" s="116">
        <v>0</v>
      </c>
      <c r="H801" s="105" t="str">
        <f t="shared" si="162"/>
        <v>FI-JR-19-F-SS</v>
      </c>
      <c r="I801" s="91" t="s">
        <v>1089</v>
      </c>
      <c r="J801" s="92" t="s">
        <v>1088</v>
      </c>
      <c r="K801" s="99">
        <v>0</v>
      </c>
      <c r="L801" s="94"/>
      <c r="M801" s="95"/>
      <c r="N801" s="95"/>
      <c r="O801" s="95"/>
      <c r="P801" s="95"/>
      <c r="R801" s="89"/>
      <c r="T801" s="11" t="str">
        <f t="shared" si="165"/>
        <v>G</v>
      </c>
    </row>
    <row r="802" spans="2:20" ht="25.5" x14ac:dyDescent="0.25">
      <c r="B802" s="90"/>
      <c r="C802" s="102" t="str">
        <f t="shared" si="161"/>
        <v>FI-JR-19-F-KP</v>
      </c>
      <c r="D802" s="91" t="s">
        <v>1090</v>
      </c>
      <c r="E802" s="103" t="s">
        <v>428</v>
      </c>
      <c r="F802" s="96"/>
      <c r="G802" s="116">
        <v>0</v>
      </c>
      <c r="H802" s="105" t="str">
        <f t="shared" si="162"/>
        <v>FI-JR-19-F-SY</v>
      </c>
      <c r="I802" s="91" t="s">
        <v>1109</v>
      </c>
      <c r="J802" s="92" t="s">
        <v>523</v>
      </c>
      <c r="K802" s="99">
        <v>0</v>
      </c>
      <c r="L802" s="94"/>
      <c r="M802" s="95"/>
      <c r="N802" s="95"/>
      <c r="O802" s="95"/>
      <c r="P802" s="95"/>
      <c r="R802" s="89"/>
      <c r="T802" s="11" t="str">
        <f t="shared" si="165"/>
        <v>G</v>
      </c>
    </row>
    <row r="803" spans="2:20" x14ac:dyDescent="0.25"/>
    <row r="804" spans="2:20" x14ac:dyDescent="0.25">
      <c r="B804" s="15" t="s">
        <v>1193</v>
      </c>
      <c r="D804" s="195" t="s">
        <v>1050</v>
      </c>
      <c r="E804" s="195"/>
      <c r="F804" s="195"/>
      <c r="G804" s="195"/>
      <c r="H804" s="195"/>
      <c r="I804" s="195"/>
      <c r="J804" s="195"/>
      <c r="K804" s="195"/>
      <c r="L804" s="195"/>
      <c r="M804" s="195"/>
      <c r="N804" s="195"/>
      <c r="O804" s="195"/>
    </row>
    <row r="805" spans="2:20" ht="52.5" customHeight="1" x14ac:dyDescent="0.25">
      <c r="D805" s="190" t="s">
        <v>1349</v>
      </c>
      <c r="E805" s="190"/>
      <c r="F805" s="190"/>
      <c r="G805" s="190"/>
      <c r="H805" s="190"/>
      <c r="I805" s="190"/>
      <c r="J805" s="190"/>
      <c r="K805" s="190"/>
      <c r="L805" s="190"/>
      <c r="M805" s="190"/>
      <c r="N805" s="190"/>
      <c r="O805" s="190"/>
      <c r="P805" s="190"/>
      <c r="R805" s="101"/>
    </row>
    <row r="806" spans="2:20" ht="15" customHeight="1" x14ac:dyDescent="0.25">
      <c r="B806" s="46" t="str">
        <f>B804&amp;"-M"</f>
        <v>FI-JR-20-M</v>
      </c>
      <c r="C806" s="46"/>
      <c r="D806" s="84"/>
      <c r="E806" s="189" t="s">
        <v>448</v>
      </c>
      <c r="F806" s="189"/>
      <c r="G806" s="189"/>
      <c r="H806" s="189"/>
      <c r="I806" s="189"/>
      <c r="J806" s="189"/>
      <c r="K806" s="189"/>
      <c r="L806" s="189"/>
      <c r="M806" s="189"/>
      <c r="N806" s="189"/>
      <c r="O806" s="189"/>
      <c r="P806" s="52"/>
      <c r="R806" s="67"/>
      <c r="T806" s="11" t="str">
        <f>IF(OR(AND(ISBLANK(R806),CR.36&gt;0),AND(CR.36&lt;=0,NOT(ISBLANK(R806)))),"R","G")</f>
        <v>G</v>
      </c>
    </row>
    <row r="807" spans="2:20" ht="15" customHeight="1" x14ac:dyDescent="0.25">
      <c r="B807" s="46" t="str">
        <f>B804&amp;"-E"</f>
        <v>FI-JR-20-E</v>
      </c>
      <c r="C807" s="46"/>
      <c r="D807" s="84"/>
      <c r="E807" s="189" t="s">
        <v>1084</v>
      </c>
      <c r="F807" s="189"/>
      <c r="G807" s="189"/>
      <c r="H807" s="189"/>
      <c r="I807" s="189"/>
      <c r="J807" s="189"/>
      <c r="K807" s="189"/>
      <c r="L807" s="189"/>
      <c r="M807" s="189"/>
      <c r="N807" s="189"/>
      <c r="O807" s="189"/>
      <c r="P807" s="52"/>
      <c r="R807" s="67"/>
      <c r="T807" s="11" t="str">
        <f>IF(OR(AND(ISBLANK(R807),CR.36&gt;0),AND(CR.36&lt;=0,NOT(ISBLANK(R807)))),"R","G")</f>
        <v>G</v>
      </c>
    </row>
    <row r="808" spans="2:20" ht="15" customHeight="1" x14ac:dyDescent="0.25">
      <c r="B808" s="46" t="str">
        <f>B804&amp;"-N"</f>
        <v>FI-JR-20-N</v>
      </c>
      <c r="C808" s="46"/>
      <c r="D808" s="84"/>
      <c r="E808" s="189" t="s">
        <v>1085</v>
      </c>
      <c r="F808" s="189"/>
      <c r="G808" s="189"/>
      <c r="H808" s="189"/>
      <c r="I808" s="189"/>
      <c r="J808" s="189"/>
      <c r="K808" s="189"/>
      <c r="L808" s="189"/>
      <c r="M808" s="189"/>
      <c r="N808" s="189"/>
      <c r="O808" s="189"/>
      <c r="P808" s="52"/>
      <c r="R808" s="67"/>
      <c r="T808" s="11" t="str">
        <f>IF(OR(AND(ISBLANK(R808),CR.36&gt;0),AND(CR.36&lt;=0,NOT(ISBLANK(R808)))),"R","G")</f>
        <v>G</v>
      </c>
    </row>
    <row r="809" spans="2:20" ht="27" customHeight="1" x14ac:dyDescent="0.25">
      <c r="B809" s="46" t="str">
        <f>B804&amp;"-F"</f>
        <v>FI-JR-20-F</v>
      </c>
      <c r="C809" s="46"/>
      <c r="D809" s="84"/>
      <c r="E809" s="191" t="s">
        <v>1086</v>
      </c>
      <c r="F809" s="191"/>
      <c r="G809" s="191"/>
      <c r="H809" s="191"/>
      <c r="I809" s="191"/>
      <c r="J809" s="191"/>
      <c r="K809" s="191"/>
      <c r="L809" s="191"/>
      <c r="M809" s="191"/>
      <c r="N809" s="191"/>
      <c r="O809" s="191"/>
      <c r="P809" s="86"/>
      <c r="R809" s="67"/>
      <c r="T809" s="11" t="str">
        <f>IF(OR(AND(ISBLANK(R809),CR.36&gt;0),AND(CR.36&lt;=0,NOT(ISBLANK(R809)))),"R","G")</f>
        <v>G</v>
      </c>
    </row>
    <row r="810" spans="2:20" ht="9.75" customHeight="1" x14ac:dyDescent="0.25">
      <c r="B810" s="10"/>
      <c r="C810" s="10"/>
      <c r="D810" s="10"/>
      <c r="E810" s="10"/>
      <c r="F810" s="10"/>
      <c r="G810" s="10"/>
      <c r="H810" s="10"/>
      <c r="I810" s="10"/>
      <c r="J810" s="10"/>
      <c r="K810" s="10"/>
      <c r="L810" s="10"/>
      <c r="M810" s="10"/>
      <c r="N810" s="10"/>
      <c r="O810" s="10"/>
      <c r="P810" s="10"/>
      <c r="R810" s="10"/>
    </row>
    <row r="811" spans="2:20" ht="15" customHeight="1" x14ac:dyDescent="0.25">
      <c r="B811" s="87"/>
      <c r="C811" s="87"/>
      <c r="D811" s="192" t="str">
        <f>IF(R809=0,"",IF(SUM(G812:G824,K812:K824,O812:O818)=R809,"","The totals included next to each jurisdiction do not add up to "&amp;R809&amp;", please revise the figures."))</f>
        <v/>
      </c>
      <c r="E811" s="192"/>
      <c r="F811" s="192"/>
      <c r="G811" s="192"/>
      <c r="H811" s="192"/>
      <c r="I811" s="192"/>
      <c r="J811" s="192"/>
      <c r="K811" s="192"/>
      <c r="L811" s="192"/>
      <c r="M811" s="192"/>
      <c r="N811" s="192"/>
      <c r="O811" s="192"/>
      <c r="P811" s="88"/>
      <c r="R811" s="89"/>
      <c r="T811" s="11" t="str">
        <f>IF(D811="","G","R")</f>
        <v>G</v>
      </c>
    </row>
    <row r="812" spans="2:20" ht="25.5" x14ac:dyDescent="0.25">
      <c r="B812" s="90"/>
      <c r="C812" s="102" t="str">
        <f>$B$809&amp;"-"&amp;D812</f>
        <v>FI-JR-20-F-AF</v>
      </c>
      <c r="D812" s="91" t="s">
        <v>1093</v>
      </c>
      <c r="E812" s="103" t="s">
        <v>317</v>
      </c>
      <c r="F812" s="93"/>
      <c r="G812" s="116">
        <v>0</v>
      </c>
      <c r="H812" s="105" t="str">
        <f>$B$809&amp;"-"&amp;I812</f>
        <v>FI-JR-20-F-LA</v>
      </c>
      <c r="I812" s="91" t="s">
        <v>1317</v>
      </c>
      <c r="J812" s="92" t="s">
        <v>1312</v>
      </c>
      <c r="K812" s="116">
        <v>0</v>
      </c>
      <c r="L812" s="105" t="str">
        <f>$B$809&amp;"-"&amp;M812</f>
        <v>FI-JR-20-F-TZ</v>
      </c>
      <c r="M812" s="91" t="s">
        <v>1110</v>
      </c>
      <c r="N812" s="92" t="s">
        <v>526</v>
      </c>
      <c r="O812" s="99">
        <v>0</v>
      </c>
      <c r="P812" s="95"/>
      <c r="R812" s="89"/>
      <c r="T812" s="11" t="str">
        <f>IF(OR(AND(OR(ISBLANK(G812),ISBLANK(K812),ISBLANK(O812)),$R$809&gt;0),AND($R$809&lt;=0,OR(OR(G812&lt;&gt;0,K812&lt;&gt;0,O812&lt;&gt;0)))),"R","G")</f>
        <v>G</v>
      </c>
    </row>
    <row r="813" spans="2:20" x14ac:dyDescent="0.25">
      <c r="B813" s="90"/>
      <c r="C813" s="102" t="str">
        <f t="shared" ref="C813:C824" si="166">$B$809&amp;"-"&amp;D813</f>
        <v>FI-JR-20-F-DZ</v>
      </c>
      <c r="D813" s="91" t="s">
        <v>1094</v>
      </c>
      <c r="E813" s="103" t="s">
        <v>319</v>
      </c>
      <c r="F813" s="93"/>
      <c r="G813" s="116">
        <v>0</v>
      </c>
      <c r="H813" s="105" t="str">
        <f t="shared" ref="H813:H824" si="167">$B$809&amp;"-"&amp;I813</f>
        <v>FI-JR-20-F-LB</v>
      </c>
      <c r="I813" s="91" t="s">
        <v>1102</v>
      </c>
      <c r="J813" s="92" t="s">
        <v>434</v>
      </c>
      <c r="K813" s="116">
        <v>0</v>
      </c>
      <c r="L813" s="105" t="str">
        <f t="shared" ref="L813:L818" si="168">$B$809&amp;"-"&amp;M813</f>
        <v>FI-JR-20-F-TT</v>
      </c>
      <c r="M813" s="91" t="s">
        <v>1111</v>
      </c>
      <c r="N813" s="92" t="s">
        <v>532</v>
      </c>
      <c r="O813" s="99">
        <v>0</v>
      </c>
      <c r="P813" s="95"/>
      <c r="R813" s="89"/>
      <c r="T813" s="11" t="str">
        <f t="shared" ref="T813:T818" si="169">IF(OR(AND(OR(ISBLANK(G813),ISBLANK(K813),ISBLANK(O813)),$R$809&gt;0),AND($R$809&lt;=0,OR(OR(G813&lt;&gt;0,K813&lt;&gt;0,O813&lt;&gt;0)))),"R","G")</f>
        <v>G</v>
      </c>
    </row>
    <row r="814" spans="2:20" x14ac:dyDescent="0.25">
      <c r="B814" s="90"/>
      <c r="C814" s="102" t="str">
        <f t="shared" si="166"/>
        <v>FI-JR-20-F-AO</v>
      </c>
      <c r="D814" s="91" t="s">
        <v>1095</v>
      </c>
      <c r="E814" s="103" t="s">
        <v>322</v>
      </c>
      <c r="F814" s="93"/>
      <c r="G814" s="116">
        <v>0</v>
      </c>
      <c r="H814" s="105" t="str">
        <f t="shared" si="167"/>
        <v>FI-JR-20-F-ML</v>
      </c>
      <c r="I814" s="91" t="s">
        <v>1103</v>
      </c>
      <c r="J814" s="92" t="s">
        <v>447</v>
      </c>
      <c r="K814" s="116">
        <v>0</v>
      </c>
      <c r="L814" s="105" t="str">
        <f t="shared" si="168"/>
        <v>FI-JR-20-F-VU</v>
      </c>
      <c r="M814" s="91" t="s">
        <v>1112</v>
      </c>
      <c r="N814" s="92" t="s">
        <v>546</v>
      </c>
      <c r="O814" s="99">
        <v>0</v>
      </c>
      <c r="P814" s="95"/>
      <c r="R814" s="89"/>
      <c r="T814" s="11" t="str">
        <f t="shared" si="169"/>
        <v>G</v>
      </c>
    </row>
    <row r="815" spans="2:20" x14ac:dyDescent="0.25">
      <c r="B815" s="90"/>
      <c r="C815" s="102" t="str">
        <f t="shared" si="166"/>
        <v>FI-JR-20-F-BO</v>
      </c>
      <c r="D815" s="91" t="s">
        <v>1316</v>
      </c>
      <c r="E815" s="103" t="s">
        <v>342</v>
      </c>
      <c r="F815" s="93"/>
      <c r="G815" s="116">
        <v>0</v>
      </c>
      <c r="H815" s="105" t="str">
        <f t="shared" si="167"/>
        <v>FI-JR-20-F-MN</v>
      </c>
      <c r="I815" s="91" t="s">
        <v>1315</v>
      </c>
      <c r="J815" s="92" t="s">
        <v>457</v>
      </c>
      <c r="K815" s="116">
        <v>0</v>
      </c>
      <c r="L815" s="105" t="str">
        <f t="shared" si="168"/>
        <v>FI-JR-20-F-VE</v>
      </c>
      <c r="M815" s="91" t="s">
        <v>1113</v>
      </c>
      <c r="N815" s="92" t="s">
        <v>547</v>
      </c>
      <c r="O815" s="99">
        <v>0</v>
      </c>
      <c r="P815" s="95"/>
      <c r="R815" s="89"/>
      <c r="T815" s="11" t="str">
        <f t="shared" si="169"/>
        <v>G</v>
      </c>
    </row>
    <row r="816" spans="2:20" x14ac:dyDescent="0.25">
      <c r="B816" s="90"/>
      <c r="C816" s="102" t="str">
        <f t="shared" si="166"/>
        <v>FI-JR-20-F-BG</v>
      </c>
      <c r="D816" s="91" t="s">
        <v>1096</v>
      </c>
      <c r="E816" s="103" t="s">
        <v>349</v>
      </c>
      <c r="F816" s="93"/>
      <c r="G816" s="116">
        <v>0</v>
      </c>
      <c r="H816" s="105" t="str">
        <f t="shared" si="167"/>
        <v>FI-JR-20-F-MZ</v>
      </c>
      <c r="I816" s="91" t="s">
        <v>1104</v>
      </c>
      <c r="J816" s="92" t="s">
        <v>461</v>
      </c>
      <c r="K816" s="116">
        <v>0</v>
      </c>
      <c r="L816" s="105" t="str">
        <f t="shared" si="168"/>
        <v>FI-JR-20-F-VN</v>
      </c>
      <c r="M816" s="91" t="s">
        <v>1114</v>
      </c>
      <c r="N816" s="92" t="s">
        <v>1313</v>
      </c>
      <c r="O816" s="99">
        <v>0</v>
      </c>
      <c r="P816" s="95"/>
      <c r="R816" s="89"/>
      <c r="T816" s="11" t="str">
        <f t="shared" si="169"/>
        <v>G</v>
      </c>
    </row>
    <row r="817" spans="2:20" x14ac:dyDescent="0.25">
      <c r="B817" s="90"/>
      <c r="C817" s="102" t="str">
        <f t="shared" si="166"/>
        <v>FI-JR-20-F-BF</v>
      </c>
      <c r="D817" s="91" t="s">
        <v>1097</v>
      </c>
      <c r="E817" s="103" t="s">
        <v>350</v>
      </c>
      <c r="F817" s="93"/>
      <c r="G817" s="116">
        <v>0</v>
      </c>
      <c r="H817" s="105" t="str">
        <f t="shared" si="167"/>
        <v>FI-JR-20-F-MM</v>
      </c>
      <c r="I817" s="91" t="s">
        <v>1105</v>
      </c>
      <c r="J817" s="92" t="s">
        <v>462</v>
      </c>
      <c r="K817" s="116">
        <v>0</v>
      </c>
      <c r="L817" s="105" t="str">
        <f t="shared" si="168"/>
        <v>FI-JR-20-F-VI</v>
      </c>
      <c r="M817" s="91" t="s">
        <v>1319</v>
      </c>
      <c r="N817" s="92" t="s">
        <v>1314</v>
      </c>
      <c r="O817" s="99">
        <v>0</v>
      </c>
      <c r="P817" s="95"/>
      <c r="R817" s="89"/>
      <c r="T817" s="11" t="str">
        <f t="shared" si="169"/>
        <v>G</v>
      </c>
    </row>
    <row r="818" spans="2:20" x14ac:dyDescent="0.25">
      <c r="B818" s="90"/>
      <c r="C818" s="102" t="str">
        <f t="shared" si="166"/>
        <v>FI-JR-20-F-CM</v>
      </c>
      <c r="D818" s="91" t="s">
        <v>1098</v>
      </c>
      <c r="E818" s="103" t="s">
        <v>353</v>
      </c>
      <c r="F818" s="93"/>
      <c r="G818" s="116">
        <v>0</v>
      </c>
      <c r="H818" s="105" t="str">
        <f t="shared" si="167"/>
        <v>FI-JR-20-F-NA</v>
      </c>
      <c r="I818" s="91" t="s">
        <v>1106</v>
      </c>
      <c r="J818" s="92" t="s">
        <v>463</v>
      </c>
      <c r="K818" s="116">
        <v>0</v>
      </c>
      <c r="L818" s="105" t="str">
        <f t="shared" si="168"/>
        <v>FI-JR-20-F-YE</v>
      </c>
      <c r="M818" s="91" t="s">
        <v>1115</v>
      </c>
      <c r="N818" s="92" t="s">
        <v>553</v>
      </c>
      <c r="O818" s="99">
        <v>0</v>
      </c>
      <c r="P818" s="95"/>
      <c r="R818" s="89"/>
      <c r="T818" s="11" t="str">
        <f t="shared" si="169"/>
        <v>G</v>
      </c>
    </row>
    <row r="819" spans="2:20" ht="38.25" x14ac:dyDescent="0.25">
      <c r="B819" s="90"/>
      <c r="C819" s="102" t="str">
        <f t="shared" si="166"/>
        <v>FI-JR-20-F-CD</v>
      </c>
      <c r="D819" s="91" t="s">
        <v>1099</v>
      </c>
      <c r="E819" s="103" t="s">
        <v>366</v>
      </c>
      <c r="F819" s="93"/>
      <c r="G819" s="116">
        <v>0</v>
      </c>
      <c r="H819" s="105" t="str">
        <f t="shared" si="167"/>
        <v>FI-JR-20-F-NP</v>
      </c>
      <c r="I819" s="91" t="s">
        <v>1318</v>
      </c>
      <c r="J819" s="92" t="s">
        <v>465</v>
      </c>
      <c r="K819" s="116">
        <v>0</v>
      </c>
      <c r="L819" s="95"/>
      <c r="M819" s="95"/>
      <c r="N819" s="95"/>
      <c r="O819" s="95"/>
      <c r="P819" s="95"/>
      <c r="R819" s="89"/>
      <c r="T819" s="11" t="str">
        <f t="shared" ref="T819:T824" si="170">IF(OR(AND(OR(ISBLANK(G819),ISBLANK(K819)),$R$809&gt;0),AND($R$809&lt;=0,OR(OR(G819&lt;&gt;0,K819&lt;&gt;0)))),"R","G")</f>
        <v>G</v>
      </c>
    </row>
    <row r="820" spans="2:20" x14ac:dyDescent="0.25">
      <c r="B820" s="90"/>
      <c r="C820" s="102" t="str">
        <f t="shared" si="166"/>
        <v>FI-JR-20-F-CI</v>
      </c>
      <c r="D820" s="91" t="s">
        <v>1091</v>
      </c>
      <c r="E820" s="103" t="s">
        <v>369</v>
      </c>
      <c r="F820" s="93"/>
      <c r="G820" s="116">
        <v>0</v>
      </c>
      <c r="H820" s="105" t="str">
        <f t="shared" si="167"/>
        <v>FI-JR-20-F-NG</v>
      </c>
      <c r="I820" s="91" t="s">
        <v>1107</v>
      </c>
      <c r="J820" s="92" t="s">
        <v>472</v>
      </c>
      <c r="K820" s="116">
        <v>0</v>
      </c>
      <c r="L820" s="95"/>
      <c r="M820" s="95"/>
      <c r="N820" s="95"/>
      <c r="O820" s="95"/>
      <c r="P820" s="95"/>
      <c r="R820" s="89"/>
      <c r="T820" s="11" t="str">
        <f t="shared" si="170"/>
        <v>G</v>
      </c>
    </row>
    <row r="821" spans="2:20" x14ac:dyDescent="0.25">
      <c r="B821" s="90"/>
      <c r="C821" s="102" t="str">
        <f t="shared" si="166"/>
        <v>FI-JR-20-F-HT</v>
      </c>
      <c r="D821" s="91" t="s">
        <v>1100</v>
      </c>
      <c r="E821" s="103" t="s">
        <v>408</v>
      </c>
      <c r="F821" s="93"/>
      <c r="G821" s="116">
        <v>0</v>
      </c>
      <c r="H821" s="105" t="str">
        <f t="shared" si="167"/>
        <v>FI-JR-20-F-RU</v>
      </c>
      <c r="I821" s="91" t="s">
        <v>1321</v>
      </c>
      <c r="J821" s="92" t="s">
        <v>1320</v>
      </c>
      <c r="K821" s="116">
        <v>0</v>
      </c>
      <c r="L821" s="95"/>
      <c r="M821" s="95"/>
      <c r="N821" s="95"/>
      <c r="O821" s="95"/>
      <c r="P821" s="95"/>
      <c r="R821" s="89"/>
      <c r="T821" s="11" t="str">
        <f t="shared" si="170"/>
        <v>G</v>
      </c>
    </row>
    <row r="822" spans="2:20" ht="25.5" x14ac:dyDescent="0.25">
      <c r="B822" s="90"/>
      <c r="C822" s="102" t="str">
        <f t="shared" si="166"/>
        <v>FI-JR-20-F-IR</v>
      </c>
      <c r="D822" s="91" t="s">
        <v>912</v>
      </c>
      <c r="E822" s="103" t="s">
        <v>417</v>
      </c>
      <c r="F822" s="93"/>
      <c r="G822" s="116">
        <v>0</v>
      </c>
      <c r="H822" s="105" t="str">
        <f t="shared" si="167"/>
        <v>FI-JR-20-F-ZA</v>
      </c>
      <c r="I822" s="91" t="s">
        <v>1108</v>
      </c>
      <c r="J822" s="92" t="s">
        <v>513</v>
      </c>
      <c r="K822" s="116">
        <v>0</v>
      </c>
      <c r="L822" s="95"/>
      <c r="M822" s="95"/>
      <c r="N822" s="95"/>
      <c r="O822" s="95"/>
      <c r="P822" s="95"/>
      <c r="R822" s="89"/>
      <c r="T822" s="11" t="str">
        <f t="shared" si="170"/>
        <v>G</v>
      </c>
    </row>
    <row r="823" spans="2:20" x14ac:dyDescent="0.25">
      <c r="B823" s="90"/>
      <c r="C823" s="102" t="str">
        <f t="shared" si="166"/>
        <v>FI-JR-20-F-KE</v>
      </c>
      <c r="D823" s="91" t="s">
        <v>1101</v>
      </c>
      <c r="E823" s="103" t="s">
        <v>426</v>
      </c>
      <c r="F823" s="93"/>
      <c r="G823" s="116">
        <v>0</v>
      </c>
      <c r="H823" s="105" t="str">
        <f t="shared" si="167"/>
        <v>FI-JR-20-F-SS</v>
      </c>
      <c r="I823" s="91" t="s">
        <v>1089</v>
      </c>
      <c r="J823" s="92" t="s">
        <v>1088</v>
      </c>
      <c r="K823" s="99">
        <v>0</v>
      </c>
      <c r="L823" s="94"/>
      <c r="M823" s="95"/>
      <c r="N823" s="95"/>
      <c r="O823" s="95"/>
      <c r="P823" s="95"/>
      <c r="R823" s="89"/>
      <c r="T823" s="11" t="str">
        <f t="shared" si="170"/>
        <v>G</v>
      </c>
    </row>
    <row r="824" spans="2:20" ht="25.5" x14ac:dyDescent="0.25">
      <c r="B824" s="90"/>
      <c r="C824" s="102" t="str">
        <f t="shared" si="166"/>
        <v>FI-JR-20-F-KP</v>
      </c>
      <c r="D824" s="91" t="s">
        <v>1090</v>
      </c>
      <c r="E824" s="103" t="s">
        <v>428</v>
      </c>
      <c r="F824" s="96"/>
      <c r="G824" s="116">
        <v>0</v>
      </c>
      <c r="H824" s="105" t="str">
        <f t="shared" si="167"/>
        <v>FI-JR-20-F-SY</v>
      </c>
      <c r="I824" s="91" t="s">
        <v>1109</v>
      </c>
      <c r="J824" s="92" t="s">
        <v>523</v>
      </c>
      <c r="K824" s="99">
        <v>0</v>
      </c>
      <c r="L824" s="94"/>
      <c r="M824" s="95"/>
      <c r="N824" s="95"/>
      <c r="O824" s="95"/>
      <c r="P824" s="95"/>
      <c r="R824" s="89"/>
      <c r="T824" s="11" t="str">
        <f t="shared" si="170"/>
        <v>G</v>
      </c>
    </row>
    <row r="825" spans="2:20" x14ac:dyDescent="0.25">
      <c r="T825" s="11"/>
    </row>
    <row r="826" spans="2:20" x14ac:dyDescent="0.25">
      <c r="B826" s="15" t="s">
        <v>1194</v>
      </c>
      <c r="D826" s="195" t="s">
        <v>1051</v>
      </c>
      <c r="E826" s="195"/>
      <c r="F826" s="195"/>
      <c r="G826" s="195"/>
      <c r="H826" s="195"/>
      <c r="I826" s="195"/>
      <c r="J826" s="195"/>
      <c r="K826" s="195"/>
      <c r="L826" s="195"/>
      <c r="M826" s="195"/>
      <c r="N826" s="195"/>
      <c r="O826" s="195"/>
    </row>
    <row r="827" spans="2:20" ht="52.5" customHeight="1" x14ac:dyDescent="0.25">
      <c r="D827" s="190" t="s">
        <v>1349</v>
      </c>
      <c r="E827" s="190"/>
      <c r="F827" s="190"/>
      <c r="G827" s="190"/>
      <c r="H827" s="190"/>
      <c r="I827" s="190"/>
      <c r="J827" s="190"/>
      <c r="K827" s="190"/>
      <c r="L827" s="190"/>
      <c r="M827" s="190"/>
      <c r="N827" s="190"/>
      <c r="O827" s="190"/>
      <c r="P827" s="190"/>
      <c r="R827" s="101"/>
    </row>
    <row r="828" spans="2:20" ht="15" customHeight="1" x14ac:dyDescent="0.25">
      <c r="B828" s="46" t="str">
        <f>B826&amp;"-M"</f>
        <v>FI-JR-22-M</v>
      </c>
      <c r="C828" s="46"/>
      <c r="D828" s="84"/>
      <c r="E828" s="189" t="s">
        <v>448</v>
      </c>
      <c r="F828" s="189"/>
      <c r="G828" s="189"/>
      <c r="H828" s="189"/>
      <c r="I828" s="189"/>
      <c r="J828" s="189"/>
      <c r="K828" s="189"/>
      <c r="L828" s="189"/>
      <c r="M828" s="189"/>
      <c r="N828" s="189"/>
      <c r="O828" s="189"/>
      <c r="P828" s="52"/>
      <c r="R828" s="67"/>
      <c r="T828" s="11" t="str">
        <f>IF(OR(AND(ISBLANK(R828),CR.42&gt;0),AND(CR.42&lt;=0,NOT(ISBLANK(R828)))),"R","G")</f>
        <v>G</v>
      </c>
    </row>
    <row r="829" spans="2:20" ht="15" customHeight="1" x14ac:dyDescent="0.25">
      <c r="B829" s="46" t="str">
        <f>B826&amp;"-E"</f>
        <v>FI-JR-22-E</v>
      </c>
      <c r="C829" s="46"/>
      <c r="D829" s="84"/>
      <c r="E829" s="189" t="s">
        <v>1084</v>
      </c>
      <c r="F829" s="189"/>
      <c r="G829" s="189"/>
      <c r="H829" s="189"/>
      <c r="I829" s="189"/>
      <c r="J829" s="189"/>
      <c r="K829" s="189"/>
      <c r="L829" s="189"/>
      <c r="M829" s="189"/>
      <c r="N829" s="189"/>
      <c r="O829" s="189"/>
      <c r="P829" s="52"/>
      <c r="R829" s="67"/>
      <c r="T829" s="11" t="str">
        <f>IF(OR(AND(ISBLANK(R829),CR.42&gt;0),AND(CR.42&lt;=0,NOT(ISBLANK(R829)))),"R","G")</f>
        <v>G</v>
      </c>
    </row>
    <row r="830" spans="2:20" ht="15" customHeight="1" x14ac:dyDescent="0.25">
      <c r="B830" s="46" t="str">
        <f>B826&amp;"-N"</f>
        <v>FI-JR-22-N</v>
      </c>
      <c r="C830" s="46"/>
      <c r="D830" s="84"/>
      <c r="E830" s="189" t="s">
        <v>1085</v>
      </c>
      <c r="F830" s="189"/>
      <c r="G830" s="189"/>
      <c r="H830" s="189"/>
      <c r="I830" s="189"/>
      <c r="J830" s="189"/>
      <c r="K830" s="189"/>
      <c r="L830" s="189"/>
      <c r="M830" s="189"/>
      <c r="N830" s="189"/>
      <c r="O830" s="189"/>
      <c r="P830" s="52"/>
      <c r="R830" s="67"/>
      <c r="T830" s="11" t="str">
        <f>IF(OR(AND(ISBLANK(R830),CR.42&gt;0),AND(CR.42&lt;=0,NOT(ISBLANK(R830)))),"R","G")</f>
        <v>G</v>
      </c>
    </row>
    <row r="831" spans="2:20" ht="27" customHeight="1" x14ac:dyDescent="0.25">
      <c r="B831" s="46" t="str">
        <f>B826&amp;"-F"</f>
        <v>FI-JR-22-F</v>
      </c>
      <c r="C831" s="46"/>
      <c r="D831" s="84"/>
      <c r="E831" s="191" t="s">
        <v>1086</v>
      </c>
      <c r="F831" s="191"/>
      <c r="G831" s="191"/>
      <c r="H831" s="191"/>
      <c r="I831" s="191"/>
      <c r="J831" s="191"/>
      <c r="K831" s="191"/>
      <c r="L831" s="191"/>
      <c r="M831" s="191"/>
      <c r="N831" s="191"/>
      <c r="O831" s="191"/>
      <c r="P831" s="86"/>
      <c r="R831" s="67"/>
      <c r="T831" s="11" t="str">
        <f>IF(OR(AND(ISBLANK(R831),CR.42&gt;0),AND(CR.42&lt;=0,NOT(ISBLANK(R831)))),"R","G")</f>
        <v>G</v>
      </c>
    </row>
    <row r="832" spans="2:20" ht="9.75" customHeight="1" x14ac:dyDescent="0.25">
      <c r="B832" s="10"/>
      <c r="C832" s="10"/>
      <c r="D832" s="10"/>
      <c r="E832" s="10"/>
      <c r="F832" s="10"/>
      <c r="G832" s="10"/>
      <c r="H832" s="10"/>
      <c r="I832" s="10"/>
      <c r="J832" s="10"/>
      <c r="K832" s="10"/>
      <c r="L832" s="10"/>
      <c r="M832" s="10"/>
      <c r="N832" s="10"/>
      <c r="O832" s="10"/>
      <c r="P832" s="10"/>
      <c r="R832" s="10"/>
    </row>
    <row r="833" spans="2:20" ht="15" customHeight="1" x14ac:dyDescent="0.25">
      <c r="B833" s="87"/>
      <c r="C833" s="87"/>
      <c r="D833" s="192" t="str">
        <f>IF(R831=0,"",IF(SUM(G834:G846,K834:K846,O834:O840)=R831,"","The totals included next to each jurisdiction do not add up to "&amp;R831&amp;", please revise the figures."))</f>
        <v/>
      </c>
      <c r="E833" s="192"/>
      <c r="F833" s="192"/>
      <c r="G833" s="192"/>
      <c r="H833" s="192"/>
      <c r="I833" s="192"/>
      <c r="J833" s="192"/>
      <c r="K833" s="192"/>
      <c r="L833" s="192"/>
      <c r="M833" s="192"/>
      <c r="N833" s="192"/>
      <c r="O833" s="192"/>
      <c r="P833" s="88"/>
      <c r="R833" s="89"/>
      <c r="T833" s="11" t="str">
        <f>IF(D833="","G","R")</f>
        <v>G</v>
      </c>
    </row>
    <row r="834" spans="2:20" ht="25.5" x14ac:dyDescent="0.25">
      <c r="B834" s="90"/>
      <c r="C834" s="102" t="str">
        <f>$B$831&amp;"-"&amp;D834</f>
        <v>FI-JR-22-F-AF</v>
      </c>
      <c r="D834" s="91" t="s">
        <v>1093</v>
      </c>
      <c r="E834" s="103" t="s">
        <v>317</v>
      </c>
      <c r="F834" s="93"/>
      <c r="G834" s="116">
        <v>0</v>
      </c>
      <c r="H834" s="105" t="str">
        <f>$B$831&amp;"-"&amp;I834</f>
        <v>FI-JR-22-F-LA</v>
      </c>
      <c r="I834" s="91" t="s">
        <v>1317</v>
      </c>
      <c r="J834" s="92" t="s">
        <v>1312</v>
      </c>
      <c r="K834" s="116">
        <v>0</v>
      </c>
      <c r="L834" s="105" t="str">
        <f>$B$831&amp;"-"&amp;M834</f>
        <v>FI-JR-22-F-TZ</v>
      </c>
      <c r="M834" s="91" t="s">
        <v>1110</v>
      </c>
      <c r="N834" s="92" t="s">
        <v>526</v>
      </c>
      <c r="O834" s="99">
        <v>0</v>
      </c>
      <c r="P834" s="95"/>
      <c r="R834" s="89"/>
      <c r="T834" s="11" t="str">
        <f>IF(OR(AND(OR(ISBLANK(G834),ISBLANK(K834),ISBLANK(O834)),$R$831&gt;0),AND($R$831&lt;=0,OR(OR(G834&lt;&gt;0,K834&lt;&gt;0,O834&lt;&gt;0)))),"R","G")</f>
        <v>G</v>
      </c>
    </row>
    <row r="835" spans="2:20" x14ac:dyDescent="0.25">
      <c r="B835" s="90"/>
      <c r="C835" s="102" t="str">
        <f t="shared" ref="C835:C846" si="171">$B$831&amp;"-"&amp;D835</f>
        <v>FI-JR-22-F-DZ</v>
      </c>
      <c r="D835" s="91" t="s">
        <v>1094</v>
      </c>
      <c r="E835" s="103" t="s">
        <v>319</v>
      </c>
      <c r="F835" s="93"/>
      <c r="G835" s="116">
        <v>0</v>
      </c>
      <c r="H835" s="105" t="str">
        <f t="shared" ref="H835:H846" si="172">$B$831&amp;"-"&amp;I835</f>
        <v>FI-JR-22-F-LB</v>
      </c>
      <c r="I835" s="91" t="s">
        <v>1102</v>
      </c>
      <c r="J835" s="92" t="s">
        <v>434</v>
      </c>
      <c r="K835" s="116">
        <v>0</v>
      </c>
      <c r="L835" s="105" t="str">
        <f t="shared" ref="L835:L840" si="173">$B$831&amp;"-"&amp;M835</f>
        <v>FI-JR-22-F-TT</v>
      </c>
      <c r="M835" s="91" t="s">
        <v>1111</v>
      </c>
      <c r="N835" s="92" t="s">
        <v>532</v>
      </c>
      <c r="O835" s="99">
        <v>0</v>
      </c>
      <c r="P835" s="95"/>
      <c r="R835" s="89"/>
      <c r="T835" s="11" t="str">
        <f t="shared" ref="T835:T840" si="174">IF(OR(AND(OR(ISBLANK(G835),ISBLANK(K835),ISBLANK(O835)),$R$831&gt;0),AND($R$831&lt;=0,OR(OR(G835&lt;&gt;0,K835&lt;&gt;0,O835&lt;&gt;0)))),"R","G")</f>
        <v>G</v>
      </c>
    </row>
    <row r="836" spans="2:20" x14ac:dyDescent="0.25">
      <c r="B836" s="90"/>
      <c r="C836" s="102" t="str">
        <f t="shared" si="171"/>
        <v>FI-JR-22-F-AO</v>
      </c>
      <c r="D836" s="91" t="s">
        <v>1095</v>
      </c>
      <c r="E836" s="103" t="s">
        <v>322</v>
      </c>
      <c r="F836" s="93"/>
      <c r="G836" s="116">
        <v>0</v>
      </c>
      <c r="H836" s="105" t="str">
        <f t="shared" si="172"/>
        <v>FI-JR-22-F-ML</v>
      </c>
      <c r="I836" s="91" t="s">
        <v>1103</v>
      </c>
      <c r="J836" s="92" t="s">
        <v>447</v>
      </c>
      <c r="K836" s="116">
        <v>0</v>
      </c>
      <c r="L836" s="105" t="str">
        <f t="shared" si="173"/>
        <v>FI-JR-22-F-VU</v>
      </c>
      <c r="M836" s="91" t="s">
        <v>1112</v>
      </c>
      <c r="N836" s="92" t="s">
        <v>546</v>
      </c>
      <c r="O836" s="99">
        <v>0</v>
      </c>
      <c r="P836" s="95"/>
      <c r="R836" s="89"/>
      <c r="T836" s="11" t="str">
        <f t="shared" si="174"/>
        <v>G</v>
      </c>
    </row>
    <row r="837" spans="2:20" x14ac:dyDescent="0.25">
      <c r="B837" s="90"/>
      <c r="C837" s="102" t="str">
        <f t="shared" si="171"/>
        <v>FI-JR-22-F-BO</v>
      </c>
      <c r="D837" s="91" t="s">
        <v>1316</v>
      </c>
      <c r="E837" s="103" t="s">
        <v>342</v>
      </c>
      <c r="F837" s="93"/>
      <c r="G837" s="116">
        <v>0</v>
      </c>
      <c r="H837" s="105" t="str">
        <f t="shared" si="172"/>
        <v>FI-JR-22-F-MN</v>
      </c>
      <c r="I837" s="91" t="s">
        <v>1315</v>
      </c>
      <c r="J837" s="92" t="s">
        <v>457</v>
      </c>
      <c r="K837" s="116">
        <v>0</v>
      </c>
      <c r="L837" s="105" t="str">
        <f t="shared" si="173"/>
        <v>FI-JR-22-F-VE</v>
      </c>
      <c r="M837" s="91" t="s">
        <v>1113</v>
      </c>
      <c r="N837" s="92" t="s">
        <v>547</v>
      </c>
      <c r="O837" s="99">
        <v>0</v>
      </c>
      <c r="P837" s="95"/>
      <c r="R837" s="89"/>
      <c r="T837" s="11" t="str">
        <f t="shared" si="174"/>
        <v>G</v>
      </c>
    </row>
    <row r="838" spans="2:20" x14ac:dyDescent="0.25">
      <c r="B838" s="90"/>
      <c r="C838" s="102" t="str">
        <f t="shared" si="171"/>
        <v>FI-JR-22-F-BG</v>
      </c>
      <c r="D838" s="91" t="s">
        <v>1096</v>
      </c>
      <c r="E838" s="103" t="s">
        <v>349</v>
      </c>
      <c r="F838" s="93"/>
      <c r="G838" s="116">
        <v>0</v>
      </c>
      <c r="H838" s="105" t="str">
        <f t="shared" si="172"/>
        <v>FI-JR-22-F-MZ</v>
      </c>
      <c r="I838" s="91" t="s">
        <v>1104</v>
      </c>
      <c r="J838" s="92" t="s">
        <v>461</v>
      </c>
      <c r="K838" s="116">
        <v>0</v>
      </c>
      <c r="L838" s="105" t="str">
        <f t="shared" si="173"/>
        <v>FI-JR-22-F-VN</v>
      </c>
      <c r="M838" s="91" t="s">
        <v>1114</v>
      </c>
      <c r="N838" s="92" t="s">
        <v>1313</v>
      </c>
      <c r="O838" s="99">
        <v>0</v>
      </c>
      <c r="P838" s="95"/>
      <c r="R838" s="89"/>
      <c r="T838" s="11" t="str">
        <f t="shared" si="174"/>
        <v>G</v>
      </c>
    </row>
    <row r="839" spans="2:20" x14ac:dyDescent="0.25">
      <c r="B839" s="90"/>
      <c r="C839" s="102" t="str">
        <f t="shared" si="171"/>
        <v>FI-JR-22-F-BF</v>
      </c>
      <c r="D839" s="91" t="s">
        <v>1097</v>
      </c>
      <c r="E839" s="103" t="s">
        <v>350</v>
      </c>
      <c r="F839" s="93"/>
      <c r="G839" s="116">
        <v>0</v>
      </c>
      <c r="H839" s="105" t="str">
        <f t="shared" si="172"/>
        <v>FI-JR-22-F-MM</v>
      </c>
      <c r="I839" s="91" t="s">
        <v>1105</v>
      </c>
      <c r="J839" s="92" t="s">
        <v>462</v>
      </c>
      <c r="K839" s="116">
        <v>0</v>
      </c>
      <c r="L839" s="105" t="str">
        <f t="shared" si="173"/>
        <v>FI-JR-22-F-VI</v>
      </c>
      <c r="M839" s="91" t="s">
        <v>1319</v>
      </c>
      <c r="N839" s="92" t="s">
        <v>1314</v>
      </c>
      <c r="O839" s="99">
        <v>0</v>
      </c>
      <c r="P839" s="95"/>
      <c r="R839" s="89"/>
      <c r="T839" s="11" t="str">
        <f t="shared" si="174"/>
        <v>G</v>
      </c>
    </row>
    <row r="840" spans="2:20" x14ac:dyDescent="0.25">
      <c r="B840" s="90"/>
      <c r="C840" s="102" t="str">
        <f t="shared" si="171"/>
        <v>FI-JR-22-F-CM</v>
      </c>
      <c r="D840" s="91" t="s">
        <v>1098</v>
      </c>
      <c r="E840" s="103" t="s">
        <v>353</v>
      </c>
      <c r="F840" s="93"/>
      <c r="G840" s="116">
        <v>0</v>
      </c>
      <c r="H840" s="105" t="str">
        <f t="shared" si="172"/>
        <v>FI-JR-22-F-NA</v>
      </c>
      <c r="I840" s="91" t="s">
        <v>1106</v>
      </c>
      <c r="J840" s="92" t="s">
        <v>463</v>
      </c>
      <c r="K840" s="116">
        <v>0</v>
      </c>
      <c r="L840" s="105" t="str">
        <f t="shared" si="173"/>
        <v>FI-JR-22-F-YE</v>
      </c>
      <c r="M840" s="91" t="s">
        <v>1115</v>
      </c>
      <c r="N840" s="92" t="s">
        <v>553</v>
      </c>
      <c r="O840" s="99">
        <v>0</v>
      </c>
      <c r="P840" s="95"/>
      <c r="R840" s="89"/>
      <c r="T840" s="11" t="str">
        <f t="shared" si="174"/>
        <v>G</v>
      </c>
    </row>
    <row r="841" spans="2:20" ht="38.25" x14ac:dyDescent="0.25">
      <c r="B841" s="90"/>
      <c r="C841" s="102" t="str">
        <f t="shared" si="171"/>
        <v>FI-JR-22-F-CD</v>
      </c>
      <c r="D841" s="91" t="s">
        <v>1099</v>
      </c>
      <c r="E841" s="103" t="s">
        <v>366</v>
      </c>
      <c r="F841" s="93"/>
      <c r="G841" s="116">
        <v>0</v>
      </c>
      <c r="H841" s="105" t="str">
        <f t="shared" si="172"/>
        <v>FI-JR-22-F-NP</v>
      </c>
      <c r="I841" s="91" t="s">
        <v>1318</v>
      </c>
      <c r="J841" s="92" t="s">
        <v>465</v>
      </c>
      <c r="K841" s="116">
        <v>0</v>
      </c>
      <c r="L841" s="95"/>
      <c r="M841" s="95"/>
      <c r="N841" s="95"/>
      <c r="O841" s="95"/>
      <c r="P841" s="95"/>
      <c r="R841" s="89"/>
      <c r="T841" s="11" t="str">
        <f t="shared" ref="T841:T846" si="175">IF(OR(AND(OR(ISBLANK(G841),ISBLANK(K841)),$R$831&gt;0),AND($R$831&lt;=0,OR(OR(G841&lt;&gt;0,K841&lt;&gt;0)))),"R","G")</f>
        <v>G</v>
      </c>
    </row>
    <row r="842" spans="2:20" x14ac:dyDescent="0.25">
      <c r="B842" s="90"/>
      <c r="C842" s="102" t="str">
        <f t="shared" si="171"/>
        <v>FI-JR-22-F-CI</v>
      </c>
      <c r="D842" s="91" t="s">
        <v>1091</v>
      </c>
      <c r="E842" s="103" t="s">
        <v>369</v>
      </c>
      <c r="F842" s="93"/>
      <c r="G842" s="116">
        <v>0</v>
      </c>
      <c r="H842" s="105" t="str">
        <f t="shared" si="172"/>
        <v>FI-JR-22-F-NG</v>
      </c>
      <c r="I842" s="91" t="s">
        <v>1107</v>
      </c>
      <c r="J842" s="92" t="s">
        <v>472</v>
      </c>
      <c r="K842" s="116">
        <v>0</v>
      </c>
      <c r="L842" s="95"/>
      <c r="M842" s="95"/>
      <c r="N842" s="95"/>
      <c r="O842" s="95"/>
      <c r="P842" s="95"/>
      <c r="R842" s="89"/>
      <c r="T842" s="11" t="str">
        <f t="shared" si="175"/>
        <v>G</v>
      </c>
    </row>
    <row r="843" spans="2:20" x14ac:dyDescent="0.25">
      <c r="B843" s="90"/>
      <c r="C843" s="102" t="str">
        <f t="shared" si="171"/>
        <v>FI-JR-22-F-HT</v>
      </c>
      <c r="D843" s="91" t="s">
        <v>1100</v>
      </c>
      <c r="E843" s="103" t="s">
        <v>408</v>
      </c>
      <c r="F843" s="93"/>
      <c r="G843" s="116">
        <v>0</v>
      </c>
      <c r="H843" s="105" t="str">
        <f t="shared" si="172"/>
        <v>FI-JR-22-F-RU</v>
      </c>
      <c r="I843" s="91" t="s">
        <v>1321</v>
      </c>
      <c r="J843" s="92" t="s">
        <v>1320</v>
      </c>
      <c r="K843" s="116">
        <v>0</v>
      </c>
      <c r="L843" s="95"/>
      <c r="M843" s="95"/>
      <c r="N843" s="95"/>
      <c r="O843" s="95"/>
      <c r="P843" s="95"/>
      <c r="R843" s="89"/>
      <c r="T843" s="11" t="str">
        <f t="shared" si="175"/>
        <v>G</v>
      </c>
    </row>
    <row r="844" spans="2:20" ht="25.5" x14ac:dyDescent="0.25">
      <c r="B844" s="90"/>
      <c r="C844" s="102" t="str">
        <f t="shared" si="171"/>
        <v>FI-JR-22-F-IR</v>
      </c>
      <c r="D844" s="91" t="s">
        <v>912</v>
      </c>
      <c r="E844" s="103" t="s">
        <v>417</v>
      </c>
      <c r="F844" s="93"/>
      <c r="G844" s="116">
        <v>0</v>
      </c>
      <c r="H844" s="105" t="str">
        <f t="shared" si="172"/>
        <v>FI-JR-22-F-ZA</v>
      </c>
      <c r="I844" s="91" t="s">
        <v>1108</v>
      </c>
      <c r="J844" s="92" t="s">
        <v>513</v>
      </c>
      <c r="K844" s="116">
        <v>0</v>
      </c>
      <c r="L844" s="95"/>
      <c r="M844" s="95"/>
      <c r="N844" s="95"/>
      <c r="O844" s="95"/>
      <c r="P844" s="95"/>
      <c r="R844" s="89"/>
      <c r="T844" s="11" t="str">
        <f t="shared" si="175"/>
        <v>G</v>
      </c>
    </row>
    <row r="845" spans="2:20" x14ac:dyDescent="0.25">
      <c r="B845" s="90"/>
      <c r="C845" s="102" t="str">
        <f t="shared" si="171"/>
        <v>FI-JR-22-F-KE</v>
      </c>
      <c r="D845" s="91" t="s">
        <v>1101</v>
      </c>
      <c r="E845" s="103" t="s">
        <v>426</v>
      </c>
      <c r="F845" s="93"/>
      <c r="G845" s="116">
        <v>0</v>
      </c>
      <c r="H845" s="105" t="str">
        <f t="shared" si="172"/>
        <v>FI-JR-22-F-SS</v>
      </c>
      <c r="I845" s="91" t="s">
        <v>1089</v>
      </c>
      <c r="J845" s="92" t="s">
        <v>1088</v>
      </c>
      <c r="K845" s="99">
        <v>0</v>
      </c>
      <c r="L845" s="94"/>
      <c r="M845" s="95"/>
      <c r="N845" s="95"/>
      <c r="O845" s="95"/>
      <c r="P845" s="95"/>
      <c r="R845" s="89"/>
      <c r="T845" s="11" t="str">
        <f t="shared" si="175"/>
        <v>G</v>
      </c>
    </row>
    <row r="846" spans="2:20" ht="25.5" x14ac:dyDescent="0.25">
      <c r="B846" s="90"/>
      <c r="C846" s="102" t="str">
        <f t="shared" si="171"/>
        <v>FI-JR-22-F-KP</v>
      </c>
      <c r="D846" s="91" t="s">
        <v>1090</v>
      </c>
      <c r="E846" s="103" t="s">
        <v>428</v>
      </c>
      <c r="F846" s="96"/>
      <c r="G846" s="116">
        <v>0</v>
      </c>
      <c r="H846" s="105" t="str">
        <f t="shared" si="172"/>
        <v>FI-JR-22-F-SY</v>
      </c>
      <c r="I846" s="91" t="s">
        <v>1109</v>
      </c>
      <c r="J846" s="92" t="s">
        <v>523</v>
      </c>
      <c r="K846" s="99">
        <v>0</v>
      </c>
      <c r="L846" s="94"/>
      <c r="M846" s="95"/>
      <c r="N846" s="95"/>
      <c r="O846" s="95"/>
      <c r="P846" s="95"/>
      <c r="R846" s="89"/>
      <c r="T846" s="11" t="str">
        <f t="shared" si="175"/>
        <v>G</v>
      </c>
    </row>
    <row r="847" spans="2:20" x14ac:dyDescent="0.25">
      <c r="E847" s="52"/>
      <c r="F847" s="52"/>
      <c r="G847" s="52"/>
      <c r="H847" s="52"/>
      <c r="I847" s="52"/>
      <c r="J847" s="52"/>
      <c r="K847" s="52"/>
      <c r="L847" s="52"/>
      <c r="M847" s="52"/>
      <c r="N847" s="52"/>
      <c r="O847" s="52"/>
      <c r="P847" s="52"/>
    </row>
    <row r="848" spans="2:20" ht="7.35" customHeight="1" x14ac:dyDescent="0.25">
      <c r="B848" s="71"/>
      <c r="C848" s="71"/>
      <c r="D848" s="15"/>
      <c r="E848" s="15"/>
      <c r="F848" s="15"/>
      <c r="G848" s="15"/>
      <c r="H848" s="15"/>
      <c r="I848" s="15"/>
      <c r="J848" s="15"/>
      <c r="K848" s="15"/>
      <c r="L848" s="15"/>
      <c r="M848" s="72"/>
      <c r="N848" s="72"/>
      <c r="O848" s="72"/>
      <c r="P848" s="72"/>
      <c r="Q848" s="73"/>
      <c r="R848" s="74"/>
    </row>
    <row r="849" spans="1:20" ht="7.15" customHeight="1" x14ac:dyDescent="0.25">
      <c r="A849" s="75"/>
      <c r="B849" s="76"/>
      <c r="C849" s="76"/>
      <c r="D849" s="77"/>
      <c r="E849" s="77"/>
      <c r="F849" s="77"/>
      <c r="G849" s="77"/>
      <c r="H849" s="77"/>
      <c r="I849" s="77"/>
      <c r="J849" s="77"/>
      <c r="K849" s="77"/>
      <c r="L849" s="77"/>
      <c r="M849" s="77"/>
      <c r="N849" s="77"/>
      <c r="O849" s="77"/>
      <c r="P849" s="77"/>
      <c r="Q849" s="75"/>
      <c r="R849" s="78"/>
      <c r="S849" s="75"/>
      <c r="T849" s="12"/>
    </row>
    <row r="850" spans="1:20" ht="6.75" customHeight="1" x14ac:dyDescent="0.25">
      <c r="B850" s="71"/>
      <c r="C850" s="71"/>
      <c r="D850" s="15"/>
      <c r="E850" s="15"/>
      <c r="F850" s="15"/>
      <c r="G850" s="15"/>
      <c r="H850" s="15"/>
      <c r="I850" s="15"/>
      <c r="J850" s="15"/>
      <c r="K850" s="15"/>
      <c r="L850" s="15"/>
      <c r="M850" s="15"/>
      <c r="N850" s="15"/>
      <c r="O850" s="15"/>
      <c r="P850" s="15"/>
      <c r="R850" s="74"/>
    </row>
    <row r="851" spans="1:20" ht="19.5" thickBot="1" x14ac:dyDescent="0.3">
      <c r="B851" s="38" t="s">
        <v>187</v>
      </c>
      <c r="C851" s="38"/>
      <c r="D851" s="39" t="s">
        <v>1176</v>
      </c>
      <c r="E851" s="40"/>
      <c r="F851" s="40"/>
      <c r="G851" s="40"/>
      <c r="H851" s="40"/>
      <c r="I851" s="40"/>
      <c r="J851" s="40"/>
      <c r="K851" s="40"/>
      <c r="L851" s="40"/>
      <c r="M851" s="40"/>
      <c r="N851" s="40"/>
      <c r="O851" s="40"/>
      <c r="P851" s="40"/>
      <c r="Q851" s="37"/>
      <c r="R851" s="42"/>
      <c r="S851" s="37"/>
    </row>
    <row r="852" spans="1:20" x14ac:dyDescent="0.25">
      <c r="E852" s="52"/>
      <c r="F852" s="52"/>
      <c r="G852" s="52"/>
      <c r="H852" s="52"/>
      <c r="I852" s="52"/>
      <c r="J852" s="52"/>
      <c r="K852" s="52"/>
      <c r="L852" s="52"/>
      <c r="M852" s="52"/>
      <c r="N852" s="52"/>
      <c r="O852" s="52"/>
      <c r="P852" s="52"/>
    </row>
    <row r="853" spans="1:20" ht="37.5" customHeight="1" x14ac:dyDescent="0.25">
      <c r="B853" s="15" t="s">
        <v>1180</v>
      </c>
      <c r="D853" s="186" t="s">
        <v>1179</v>
      </c>
      <c r="E853" s="186"/>
      <c r="F853" s="186"/>
      <c r="G853" s="186"/>
      <c r="H853" s="186"/>
      <c r="I853" s="186"/>
      <c r="J853" s="186"/>
      <c r="K853" s="186"/>
      <c r="L853" s="186"/>
      <c r="M853" s="186"/>
      <c r="N853" s="186"/>
      <c r="O853" s="186"/>
      <c r="P853" s="52"/>
      <c r="R853" s="10"/>
    </row>
    <row r="854" spans="1:20" ht="52.5" customHeight="1" x14ac:dyDescent="0.25">
      <c r="D854" s="190" t="s">
        <v>1349</v>
      </c>
      <c r="E854" s="190"/>
      <c r="F854" s="190"/>
      <c r="G854" s="190"/>
      <c r="H854" s="190"/>
      <c r="I854" s="190"/>
      <c r="J854" s="190"/>
      <c r="K854" s="190"/>
      <c r="L854" s="190"/>
      <c r="M854" s="190"/>
      <c r="N854" s="190"/>
      <c r="O854" s="190"/>
      <c r="P854" s="190"/>
      <c r="R854" s="101"/>
    </row>
    <row r="855" spans="1:20" ht="15" customHeight="1" x14ac:dyDescent="0.25">
      <c r="B855" s="46" t="str">
        <f>B853&amp;"-M"</f>
        <v>FI-JR-65-M</v>
      </c>
      <c r="C855" s="46"/>
      <c r="D855" s="84"/>
      <c r="E855" s="189" t="s">
        <v>448</v>
      </c>
      <c r="F855" s="189"/>
      <c r="G855" s="189"/>
      <c r="H855" s="189"/>
      <c r="I855" s="189"/>
      <c r="J855" s="189"/>
      <c r="K855" s="189"/>
      <c r="L855" s="189"/>
      <c r="M855" s="189"/>
      <c r="N855" s="189"/>
      <c r="O855" s="189"/>
      <c r="P855" s="52"/>
      <c r="R855" s="67"/>
      <c r="T855" s="11" t="str">
        <f>IF(OR(AND(ISBLANK(R855),CR.74&gt;0),AND(CR.74&lt;=0,NOT(ISBLANK(R855)))),"R","G")</f>
        <v>G</v>
      </c>
    </row>
    <row r="856" spans="1:20" ht="15" customHeight="1" x14ac:dyDescent="0.25">
      <c r="B856" s="46" t="str">
        <f>B853&amp;"-E"</f>
        <v>FI-JR-65-E</v>
      </c>
      <c r="C856" s="46"/>
      <c r="D856" s="84"/>
      <c r="E856" s="189" t="s">
        <v>1084</v>
      </c>
      <c r="F856" s="189"/>
      <c r="G856" s="189"/>
      <c r="H856" s="189"/>
      <c r="I856" s="189"/>
      <c r="J856" s="189"/>
      <c r="K856" s="189"/>
      <c r="L856" s="189"/>
      <c r="M856" s="189"/>
      <c r="N856" s="189"/>
      <c r="O856" s="189"/>
      <c r="P856" s="52"/>
      <c r="R856" s="67"/>
      <c r="T856" s="11" t="str">
        <f>IF(OR(AND(ISBLANK(R856),CR.74&gt;0),AND(CR.74&lt;=0,NOT(ISBLANK(R856)))),"R","G")</f>
        <v>G</v>
      </c>
    </row>
    <row r="857" spans="1:20" ht="15" customHeight="1" x14ac:dyDescent="0.25">
      <c r="B857" s="46" t="str">
        <f>B853&amp;"-N"</f>
        <v>FI-JR-65-N</v>
      </c>
      <c r="C857" s="46"/>
      <c r="D857" s="84"/>
      <c r="E857" s="189" t="s">
        <v>1085</v>
      </c>
      <c r="F857" s="189"/>
      <c r="G857" s="189"/>
      <c r="H857" s="189"/>
      <c r="I857" s="189"/>
      <c r="J857" s="189"/>
      <c r="K857" s="189"/>
      <c r="L857" s="189"/>
      <c r="M857" s="189"/>
      <c r="N857" s="189"/>
      <c r="O857" s="189"/>
      <c r="P857" s="52"/>
      <c r="R857" s="67"/>
      <c r="T857" s="11" t="str">
        <f>IF(OR(AND(ISBLANK(R857),CR.74&gt;0),AND(CR.74&lt;=0,NOT(ISBLANK(R857)))),"R","G")</f>
        <v>G</v>
      </c>
    </row>
    <row r="858" spans="1:20" ht="27" customHeight="1" x14ac:dyDescent="0.25">
      <c r="B858" s="46" t="str">
        <f>B853&amp;"-F"</f>
        <v>FI-JR-65-F</v>
      </c>
      <c r="C858" s="46"/>
      <c r="D858" s="84"/>
      <c r="E858" s="191" t="s">
        <v>1086</v>
      </c>
      <c r="F858" s="191"/>
      <c r="G858" s="191"/>
      <c r="H858" s="191"/>
      <c r="I858" s="191"/>
      <c r="J858" s="191"/>
      <c r="K858" s="191"/>
      <c r="L858" s="191"/>
      <c r="M858" s="191"/>
      <c r="N858" s="191"/>
      <c r="O858" s="191"/>
      <c r="P858" s="86"/>
      <c r="R858" s="67"/>
      <c r="T858" s="11" t="str">
        <f>IF(OR(AND(ISBLANK(R858),CR.74&gt;0),AND(CR.74&lt;=0,NOT(ISBLANK(R858)))),"R","G")</f>
        <v>G</v>
      </c>
    </row>
    <row r="859" spans="1:20" ht="9.75" customHeight="1" x14ac:dyDescent="0.25">
      <c r="B859" s="10"/>
      <c r="C859" s="10"/>
      <c r="D859" s="10"/>
      <c r="E859" s="10"/>
      <c r="F859" s="10"/>
      <c r="G859" s="10"/>
      <c r="H859" s="10"/>
      <c r="I859" s="10"/>
      <c r="J859" s="10"/>
      <c r="K859" s="10"/>
      <c r="L859" s="10"/>
      <c r="M859" s="10"/>
      <c r="N859" s="10"/>
      <c r="O859" s="10"/>
      <c r="P859" s="10"/>
      <c r="R859" s="10"/>
    </row>
    <row r="860" spans="1:20" ht="15" customHeight="1" x14ac:dyDescent="0.25">
      <c r="B860" s="87"/>
      <c r="C860" s="87"/>
      <c r="D860" s="192" t="str">
        <f>IF(R858=0,"",IF(SUM(G861:G873,K861:K873,O861:O867)=R858,"","The totals included next to each jurisdiction do not add up to "&amp;R858&amp;", please revise the figures."))</f>
        <v/>
      </c>
      <c r="E860" s="192"/>
      <c r="F860" s="192"/>
      <c r="G860" s="192"/>
      <c r="H860" s="192"/>
      <c r="I860" s="192"/>
      <c r="J860" s="192"/>
      <c r="K860" s="192"/>
      <c r="L860" s="192"/>
      <c r="M860" s="192"/>
      <c r="N860" s="192"/>
      <c r="O860" s="192"/>
      <c r="P860" s="88"/>
      <c r="R860" s="89"/>
      <c r="T860" s="11" t="str">
        <f>IF(D860="","G","R")</f>
        <v>G</v>
      </c>
    </row>
    <row r="861" spans="1:20" ht="25.5" x14ac:dyDescent="0.25">
      <c r="B861" s="90"/>
      <c r="C861" s="102" t="str">
        <f>$B$858&amp;"-"&amp;D861</f>
        <v>FI-JR-65-F-AF</v>
      </c>
      <c r="D861" s="91" t="s">
        <v>1093</v>
      </c>
      <c r="E861" s="103" t="s">
        <v>317</v>
      </c>
      <c r="F861" s="93"/>
      <c r="G861" s="116">
        <v>0</v>
      </c>
      <c r="H861" s="105" t="str">
        <f>$B$858&amp;"-"&amp;I861</f>
        <v>FI-JR-65-F-LA</v>
      </c>
      <c r="I861" s="91" t="s">
        <v>1317</v>
      </c>
      <c r="J861" s="92" t="s">
        <v>1312</v>
      </c>
      <c r="K861" s="116">
        <v>0</v>
      </c>
      <c r="L861" s="105" t="str">
        <f>$B$858&amp;"-"&amp;M861</f>
        <v>FI-JR-65-F-TZ</v>
      </c>
      <c r="M861" s="91" t="s">
        <v>1110</v>
      </c>
      <c r="N861" s="92" t="s">
        <v>526</v>
      </c>
      <c r="O861" s="99">
        <v>0</v>
      </c>
      <c r="P861" s="95"/>
      <c r="R861" s="89"/>
      <c r="T861" s="11" t="str">
        <f>IF(OR(AND(OR(ISBLANK(G861),ISBLANK(K861),ISBLANK(O861)),$R$858&gt;0),AND($R$858&lt;=0,OR(OR(G861&lt;&gt;0,K861&lt;&gt;0,O861&lt;&gt;0)))),"R","G")</f>
        <v>G</v>
      </c>
    </row>
    <row r="862" spans="1:20" x14ac:dyDescent="0.25">
      <c r="B862" s="90"/>
      <c r="C862" s="102" t="str">
        <f t="shared" ref="C862:C873" si="176">$B$858&amp;"-"&amp;D862</f>
        <v>FI-JR-65-F-DZ</v>
      </c>
      <c r="D862" s="91" t="s">
        <v>1094</v>
      </c>
      <c r="E862" s="103" t="s">
        <v>319</v>
      </c>
      <c r="F862" s="93"/>
      <c r="G862" s="116">
        <v>0</v>
      </c>
      <c r="H862" s="105" t="str">
        <f t="shared" ref="H862:H873" si="177">$B$858&amp;"-"&amp;I862</f>
        <v>FI-JR-65-F-LB</v>
      </c>
      <c r="I862" s="91" t="s">
        <v>1102</v>
      </c>
      <c r="J862" s="92" t="s">
        <v>434</v>
      </c>
      <c r="K862" s="116">
        <v>0</v>
      </c>
      <c r="L862" s="105" t="str">
        <f t="shared" ref="L862:L867" si="178">$B$858&amp;"-"&amp;M862</f>
        <v>FI-JR-65-F-TT</v>
      </c>
      <c r="M862" s="91" t="s">
        <v>1111</v>
      </c>
      <c r="N862" s="92" t="s">
        <v>532</v>
      </c>
      <c r="O862" s="99">
        <v>0</v>
      </c>
      <c r="P862" s="95"/>
      <c r="R862" s="89"/>
      <c r="T862" s="11" t="str">
        <f t="shared" ref="T862:T867" si="179">IF(OR(AND(OR(ISBLANK(G862),ISBLANK(K862),ISBLANK(O862)),$R$858&gt;0),AND($R$858&lt;=0,OR(OR(G862&lt;&gt;0,K862&lt;&gt;0,O862&lt;&gt;0)))),"R","G")</f>
        <v>G</v>
      </c>
    </row>
    <row r="863" spans="1:20" x14ac:dyDescent="0.25">
      <c r="B863" s="90"/>
      <c r="C863" s="102" t="str">
        <f t="shared" si="176"/>
        <v>FI-JR-65-F-AO</v>
      </c>
      <c r="D863" s="91" t="s">
        <v>1095</v>
      </c>
      <c r="E863" s="103" t="s">
        <v>322</v>
      </c>
      <c r="F863" s="93"/>
      <c r="G863" s="116">
        <v>0</v>
      </c>
      <c r="H863" s="105" t="str">
        <f t="shared" si="177"/>
        <v>FI-JR-65-F-ML</v>
      </c>
      <c r="I863" s="91" t="s">
        <v>1103</v>
      </c>
      <c r="J863" s="92" t="s">
        <v>447</v>
      </c>
      <c r="K863" s="116">
        <v>0</v>
      </c>
      <c r="L863" s="105" t="str">
        <f t="shared" si="178"/>
        <v>FI-JR-65-F-VU</v>
      </c>
      <c r="M863" s="91" t="s">
        <v>1112</v>
      </c>
      <c r="N863" s="92" t="s">
        <v>546</v>
      </c>
      <c r="O863" s="99">
        <v>0</v>
      </c>
      <c r="P863" s="95"/>
      <c r="R863" s="89"/>
      <c r="T863" s="11" t="str">
        <f t="shared" si="179"/>
        <v>G</v>
      </c>
    </row>
    <row r="864" spans="1:20" x14ac:dyDescent="0.25">
      <c r="B864" s="90"/>
      <c r="C864" s="102" t="str">
        <f t="shared" si="176"/>
        <v>FI-JR-65-F-BO</v>
      </c>
      <c r="D864" s="91" t="s">
        <v>1316</v>
      </c>
      <c r="E864" s="103" t="s">
        <v>342</v>
      </c>
      <c r="F864" s="93"/>
      <c r="G864" s="116">
        <v>0</v>
      </c>
      <c r="H864" s="105" t="str">
        <f t="shared" si="177"/>
        <v>FI-JR-65-F-MN</v>
      </c>
      <c r="I864" s="91" t="s">
        <v>1315</v>
      </c>
      <c r="J864" s="92" t="s">
        <v>457</v>
      </c>
      <c r="K864" s="116">
        <v>0</v>
      </c>
      <c r="L864" s="105" t="str">
        <f t="shared" si="178"/>
        <v>FI-JR-65-F-VE</v>
      </c>
      <c r="M864" s="91" t="s">
        <v>1113</v>
      </c>
      <c r="N864" s="92" t="s">
        <v>547</v>
      </c>
      <c r="O864" s="99">
        <v>0</v>
      </c>
      <c r="P864" s="95"/>
      <c r="R864" s="89"/>
      <c r="T864" s="11" t="str">
        <f t="shared" si="179"/>
        <v>G</v>
      </c>
    </row>
    <row r="865" spans="2:20" x14ac:dyDescent="0.25">
      <c r="B865" s="90"/>
      <c r="C865" s="102" t="str">
        <f t="shared" si="176"/>
        <v>FI-JR-65-F-BG</v>
      </c>
      <c r="D865" s="91" t="s">
        <v>1096</v>
      </c>
      <c r="E865" s="103" t="s">
        <v>349</v>
      </c>
      <c r="F865" s="93"/>
      <c r="G865" s="116">
        <v>0</v>
      </c>
      <c r="H865" s="105" t="str">
        <f t="shared" si="177"/>
        <v>FI-JR-65-F-MZ</v>
      </c>
      <c r="I865" s="91" t="s">
        <v>1104</v>
      </c>
      <c r="J865" s="92" t="s">
        <v>461</v>
      </c>
      <c r="K865" s="116">
        <v>0</v>
      </c>
      <c r="L865" s="105" t="str">
        <f t="shared" si="178"/>
        <v>FI-JR-65-F-VN</v>
      </c>
      <c r="M865" s="91" t="s">
        <v>1114</v>
      </c>
      <c r="N865" s="92" t="s">
        <v>1313</v>
      </c>
      <c r="O865" s="99">
        <v>0</v>
      </c>
      <c r="P865" s="95"/>
      <c r="R865" s="89"/>
      <c r="T865" s="11" t="str">
        <f t="shared" si="179"/>
        <v>G</v>
      </c>
    </row>
    <row r="866" spans="2:20" x14ac:dyDescent="0.25">
      <c r="B866" s="90"/>
      <c r="C866" s="102" t="str">
        <f t="shared" si="176"/>
        <v>FI-JR-65-F-BF</v>
      </c>
      <c r="D866" s="91" t="s">
        <v>1097</v>
      </c>
      <c r="E866" s="103" t="s">
        <v>350</v>
      </c>
      <c r="F866" s="93"/>
      <c r="G866" s="116">
        <v>0</v>
      </c>
      <c r="H866" s="105" t="str">
        <f t="shared" si="177"/>
        <v>FI-JR-65-F-MM</v>
      </c>
      <c r="I866" s="91" t="s">
        <v>1105</v>
      </c>
      <c r="J866" s="92" t="s">
        <v>462</v>
      </c>
      <c r="K866" s="116">
        <v>0</v>
      </c>
      <c r="L866" s="105" t="str">
        <f t="shared" si="178"/>
        <v>FI-JR-65-F-VI</v>
      </c>
      <c r="M866" s="91" t="s">
        <v>1319</v>
      </c>
      <c r="N866" s="92" t="s">
        <v>1314</v>
      </c>
      <c r="O866" s="99">
        <v>0</v>
      </c>
      <c r="P866" s="95"/>
      <c r="R866" s="89"/>
      <c r="T866" s="11" t="str">
        <f t="shared" si="179"/>
        <v>G</v>
      </c>
    </row>
    <row r="867" spans="2:20" x14ac:dyDescent="0.25">
      <c r="B867" s="90"/>
      <c r="C867" s="102" t="str">
        <f t="shared" si="176"/>
        <v>FI-JR-65-F-CM</v>
      </c>
      <c r="D867" s="91" t="s">
        <v>1098</v>
      </c>
      <c r="E867" s="103" t="s">
        <v>353</v>
      </c>
      <c r="F867" s="93"/>
      <c r="G867" s="116">
        <v>0</v>
      </c>
      <c r="H867" s="105" t="str">
        <f t="shared" si="177"/>
        <v>FI-JR-65-F-NA</v>
      </c>
      <c r="I867" s="91" t="s">
        <v>1106</v>
      </c>
      <c r="J867" s="92" t="s">
        <v>463</v>
      </c>
      <c r="K867" s="116">
        <v>0</v>
      </c>
      <c r="L867" s="105" t="str">
        <f t="shared" si="178"/>
        <v>FI-JR-65-F-YE</v>
      </c>
      <c r="M867" s="91" t="s">
        <v>1115</v>
      </c>
      <c r="N867" s="92" t="s">
        <v>553</v>
      </c>
      <c r="O867" s="99">
        <v>0</v>
      </c>
      <c r="P867" s="95"/>
      <c r="R867" s="89"/>
      <c r="T867" s="11" t="str">
        <f t="shared" si="179"/>
        <v>G</v>
      </c>
    </row>
    <row r="868" spans="2:20" ht="38.25" x14ac:dyDescent="0.25">
      <c r="B868" s="90"/>
      <c r="C868" s="102" t="str">
        <f t="shared" si="176"/>
        <v>FI-JR-65-F-CD</v>
      </c>
      <c r="D868" s="91" t="s">
        <v>1099</v>
      </c>
      <c r="E868" s="103" t="s">
        <v>366</v>
      </c>
      <c r="F868" s="93"/>
      <c r="G868" s="116">
        <v>0</v>
      </c>
      <c r="H868" s="105" t="str">
        <f t="shared" si="177"/>
        <v>FI-JR-65-F-NP</v>
      </c>
      <c r="I868" s="91" t="s">
        <v>1318</v>
      </c>
      <c r="J868" s="92" t="s">
        <v>465</v>
      </c>
      <c r="K868" s="116">
        <v>0</v>
      </c>
      <c r="L868" s="95"/>
      <c r="M868" s="95"/>
      <c r="N868" s="95"/>
      <c r="O868" s="95"/>
      <c r="P868" s="95"/>
      <c r="R868" s="89"/>
      <c r="T868" s="11" t="str">
        <f t="shared" ref="T868:T873" si="180">IF(OR(AND(OR(ISBLANK(G868),ISBLANK(K868)),$R$858&gt;0),AND($R$858&lt;=0,OR(OR(G868&lt;&gt;0,K868&lt;&gt;0)))),"R","G")</f>
        <v>G</v>
      </c>
    </row>
    <row r="869" spans="2:20" x14ac:dyDescent="0.25">
      <c r="B869" s="90"/>
      <c r="C869" s="102" t="str">
        <f t="shared" si="176"/>
        <v>FI-JR-65-F-CI</v>
      </c>
      <c r="D869" s="91" t="s">
        <v>1091</v>
      </c>
      <c r="E869" s="103" t="s">
        <v>369</v>
      </c>
      <c r="F869" s="93"/>
      <c r="G869" s="116">
        <v>0</v>
      </c>
      <c r="H869" s="105" t="str">
        <f t="shared" si="177"/>
        <v>FI-JR-65-F-NG</v>
      </c>
      <c r="I869" s="91" t="s">
        <v>1107</v>
      </c>
      <c r="J869" s="92" t="s">
        <v>472</v>
      </c>
      <c r="K869" s="116">
        <v>0</v>
      </c>
      <c r="L869" s="95"/>
      <c r="M869" s="95"/>
      <c r="N869" s="95"/>
      <c r="O869" s="95"/>
      <c r="P869" s="95"/>
      <c r="R869" s="89"/>
      <c r="T869" s="11" t="str">
        <f t="shared" si="180"/>
        <v>G</v>
      </c>
    </row>
    <row r="870" spans="2:20" x14ac:dyDescent="0.25">
      <c r="B870" s="90"/>
      <c r="C870" s="102" t="str">
        <f t="shared" si="176"/>
        <v>FI-JR-65-F-HT</v>
      </c>
      <c r="D870" s="91" t="s">
        <v>1100</v>
      </c>
      <c r="E870" s="103" t="s">
        <v>408</v>
      </c>
      <c r="F870" s="93"/>
      <c r="G870" s="116">
        <v>0</v>
      </c>
      <c r="H870" s="105" t="str">
        <f t="shared" si="177"/>
        <v>FI-JR-65-F-RU</v>
      </c>
      <c r="I870" s="91" t="s">
        <v>1321</v>
      </c>
      <c r="J870" s="92" t="s">
        <v>1320</v>
      </c>
      <c r="K870" s="116">
        <v>0</v>
      </c>
      <c r="L870" s="95"/>
      <c r="M870" s="95"/>
      <c r="N870" s="95"/>
      <c r="O870" s="95"/>
      <c r="P870" s="95"/>
      <c r="R870" s="89"/>
      <c r="T870" s="11" t="str">
        <f t="shared" si="180"/>
        <v>G</v>
      </c>
    </row>
    <row r="871" spans="2:20" ht="25.5" x14ac:dyDescent="0.25">
      <c r="B871" s="90"/>
      <c r="C871" s="102" t="str">
        <f t="shared" si="176"/>
        <v>FI-JR-65-F-IR</v>
      </c>
      <c r="D871" s="91" t="s">
        <v>912</v>
      </c>
      <c r="E871" s="103" t="s">
        <v>417</v>
      </c>
      <c r="F871" s="93"/>
      <c r="G871" s="116">
        <v>0</v>
      </c>
      <c r="H871" s="105" t="str">
        <f t="shared" si="177"/>
        <v>FI-JR-65-F-ZA</v>
      </c>
      <c r="I871" s="91" t="s">
        <v>1108</v>
      </c>
      <c r="J871" s="92" t="s">
        <v>513</v>
      </c>
      <c r="K871" s="116">
        <v>0</v>
      </c>
      <c r="L871" s="95"/>
      <c r="M871" s="95"/>
      <c r="N871" s="95"/>
      <c r="O871" s="95"/>
      <c r="P871" s="95"/>
      <c r="R871" s="89"/>
      <c r="T871" s="11" t="str">
        <f t="shared" si="180"/>
        <v>G</v>
      </c>
    </row>
    <row r="872" spans="2:20" x14ac:dyDescent="0.25">
      <c r="B872" s="90"/>
      <c r="C872" s="102" t="str">
        <f t="shared" si="176"/>
        <v>FI-JR-65-F-KE</v>
      </c>
      <c r="D872" s="91" t="s">
        <v>1101</v>
      </c>
      <c r="E872" s="103" t="s">
        <v>426</v>
      </c>
      <c r="F872" s="93"/>
      <c r="G872" s="116">
        <v>0</v>
      </c>
      <c r="H872" s="105" t="str">
        <f t="shared" si="177"/>
        <v>FI-JR-65-F-SS</v>
      </c>
      <c r="I872" s="91" t="s">
        <v>1089</v>
      </c>
      <c r="J872" s="92" t="s">
        <v>1088</v>
      </c>
      <c r="K872" s="99">
        <v>0</v>
      </c>
      <c r="L872" s="94"/>
      <c r="M872" s="95"/>
      <c r="N872" s="95"/>
      <c r="O872" s="95"/>
      <c r="P872" s="95"/>
      <c r="R872" s="89"/>
      <c r="T872" s="11" t="str">
        <f t="shared" si="180"/>
        <v>G</v>
      </c>
    </row>
    <row r="873" spans="2:20" ht="25.5" x14ac:dyDescent="0.25">
      <c r="B873" s="90"/>
      <c r="C873" s="102" t="str">
        <f t="shared" si="176"/>
        <v>FI-JR-65-F-KP</v>
      </c>
      <c r="D873" s="91" t="s">
        <v>1090</v>
      </c>
      <c r="E873" s="103" t="s">
        <v>428</v>
      </c>
      <c r="F873" s="96"/>
      <c r="G873" s="116">
        <v>0</v>
      </c>
      <c r="H873" s="105" t="str">
        <f t="shared" si="177"/>
        <v>FI-JR-65-F-SY</v>
      </c>
      <c r="I873" s="91" t="s">
        <v>1109</v>
      </c>
      <c r="J873" s="92" t="s">
        <v>523</v>
      </c>
      <c r="K873" s="99">
        <v>0</v>
      </c>
      <c r="L873" s="94"/>
      <c r="M873" s="95"/>
      <c r="N873" s="95"/>
      <c r="O873" s="95"/>
      <c r="P873" s="95"/>
      <c r="R873" s="89"/>
      <c r="T873" s="11" t="str">
        <f t="shared" si="180"/>
        <v>G</v>
      </c>
    </row>
    <row r="874" spans="2:20" x14ac:dyDescent="0.25"/>
    <row r="875" spans="2:20" ht="37.5" customHeight="1" x14ac:dyDescent="0.25">
      <c r="B875" s="15" t="s">
        <v>1182</v>
      </c>
      <c r="D875" s="186" t="s">
        <v>1181</v>
      </c>
      <c r="E875" s="186"/>
      <c r="F875" s="186"/>
      <c r="G875" s="186"/>
      <c r="H875" s="186"/>
      <c r="I875" s="186"/>
      <c r="J875" s="186"/>
      <c r="K875" s="186"/>
      <c r="L875" s="186"/>
      <c r="M875" s="186"/>
      <c r="N875" s="186"/>
      <c r="O875" s="186"/>
      <c r="P875" s="52"/>
      <c r="R875" s="10"/>
    </row>
    <row r="876" spans="2:20" ht="52.5" customHeight="1" x14ac:dyDescent="0.25">
      <c r="D876" s="190" t="s">
        <v>1349</v>
      </c>
      <c r="E876" s="190"/>
      <c r="F876" s="190"/>
      <c r="G876" s="190"/>
      <c r="H876" s="190"/>
      <c r="I876" s="190"/>
      <c r="J876" s="190"/>
      <c r="K876" s="190"/>
      <c r="L876" s="190"/>
      <c r="M876" s="190"/>
      <c r="N876" s="190"/>
      <c r="O876" s="190"/>
      <c r="P876" s="190"/>
      <c r="R876" s="101"/>
    </row>
    <row r="877" spans="2:20" ht="15" customHeight="1" x14ac:dyDescent="0.25">
      <c r="B877" s="46" t="str">
        <f>B875&amp;"-M"</f>
        <v>FI-JR-66-M</v>
      </c>
      <c r="C877" s="46"/>
      <c r="D877" s="84"/>
      <c r="E877" s="189" t="s">
        <v>448</v>
      </c>
      <c r="F877" s="189"/>
      <c r="G877" s="189"/>
      <c r="H877" s="189"/>
      <c r="I877" s="189"/>
      <c r="J877" s="189"/>
      <c r="K877" s="189"/>
      <c r="L877" s="189"/>
      <c r="M877" s="189"/>
      <c r="N877" s="189"/>
      <c r="O877" s="189"/>
      <c r="P877" s="52"/>
      <c r="R877" s="67"/>
      <c r="T877" s="11" t="str">
        <f>IF(OR(AND(ISBLANK(R877),CR.75&gt;0),AND(CR.75&lt;=0,NOT(ISBLANK(R877)))),"R","G")</f>
        <v>G</v>
      </c>
    </row>
    <row r="878" spans="2:20" ht="15" customHeight="1" x14ac:dyDescent="0.25">
      <c r="B878" s="46" t="str">
        <f>B875&amp;"-E"</f>
        <v>FI-JR-66-E</v>
      </c>
      <c r="C878" s="46"/>
      <c r="D878" s="84"/>
      <c r="E878" s="189" t="s">
        <v>1084</v>
      </c>
      <c r="F878" s="189"/>
      <c r="G878" s="189"/>
      <c r="H878" s="189"/>
      <c r="I878" s="189"/>
      <c r="J878" s="189"/>
      <c r="K878" s="189"/>
      <c r="L878" s="189"/>
      <c r="M878" s="189"/>
      <c r="N878" s="189"/>
      <c r="O878" s="189"/>
      <c r="P878" s="52"/>
      <c r="R878" s="67"/>
      <c r="T878" s="11" t="str">
        <f>IF(OR(AND(ISBLANK(R878),CR.75&gt;0),AND(CR.75&lt;=0,NOT(ISBLANK(R878)))),"R","G")</f>
        <v>G</v>
      </c>
    </row>
    <row r="879" spans="2:20" ht="15" customHeight="1" x14ac:dyDescent="0.25">
      <c r="B879" s="46" t="str">
        <f>B875&amp;"-N"</f>
        <v>FI-JR-66-N</v>
      </c>
      <c r="C879" s="46"/>
      <c r="D879" s="84"/>
      <c r="E879" s="189" t="s">
        <v>1085</v>
      </c>
      <c r="F879" s="189"/>
      <c r="G879" s="189"/>
      <c r="H879" s="189"/>
      <c r="I879" s="189"/>
      <c r="J879" s="189"/>
      <c r="K879" s="189"/>
      <c r="L879" s="189"/>
      <c r="M879" s="189"/>
      <c r="N879" s="189"/>
      <c r="O879" s="189"/>
      <c r="P879" s="52"/>
      <c r="R879" s="67"/>
      <c r="T879" s="11" t="str">
        <f>IF(OR(AND(ISBLANK(R879),CR.75&gt;0),AND(CR.75&lt;=0,NOT(ISBLANK(R879)))),"R","G")</f>
        <v>G</v>
      </c>
    </row>
    <row r="880" spans="2:20" ht="27" customHeight="1" x14ac:dyDescent="0.25">
      <c r="B880" s="46" t="str">
        <f>B875&amp;"-F"</f>
        <v>FI-JR-66-F</v>
      </c>
      <c r="C880" s="46"/>
      <c r="D880" s="84"/>
      <c r="E880" s="191" t="s">
        <v>1086</v>
      </c>
      <c r="F880" s="191"/>
      <c r="G880" s="191"/>
      <c r="H880" s="191"/>
      <c r="I880" s="191"/>
      <c r="J880" s="191"/>
      <c r="K880" s="191"/>
      <c r="L880" s="191"/>
      <c r="M880" s="191"/>
      <c r="N880" s="191"/>
      <c r="O880" s="191"/>
      <c r="P880" s="86"/>
      <c r="R880" s="67"/>
      <c r="T880" s="11" t="str">
        <f>IF(OR(AND(ISBLANK(R880),CR.75&gt;0),AND(CR.75&lt;=0,NOT(ISBLANK(R880)))),"R","G")</f>
        <v>G</v>
      </c>
    </row>
    <row r="881" spans="2:20" ht="9.75" customHeight="1" x14ac:dyDescent="0.25">
      <c r="B881" s="10"/>
      <c r="C881" s="10"/>
      <c r="D881" s="10"/>
      <c r="E881" s="10"/>
      <c r="F881" s="10"/>
      <c r="G881" s="10"/>
      <c r="H881" s="10"/>
      <c r="I881" s="10"/>
      <c r="J881" s="10"/>
      <c r="K881" s="10"/>
      <c r="L881" s="10"/>
      <c r="M881" s="10"/>
      <c r="N881" s="10"/>
      <c r="O881" s="10"/>
      <c r="P881" s="10"/>
      <c r="R881" s="10"/>
    </row>
    <row r="882" spans="2:20" ht="15" customHeight="1" x14ac:dyDescent="0.25">
      <c r="B882" s="87"/>
      <c r="C882" s="87"/>
      <c r="D882" s="192" t="str">
        <f>IF(R880=0,"",IF(SUM(G883:G895,K883:K895,O883:O889)=R880,"","The totals included next to each jurisdiction do not add up to "&amp;R880&amp;", please revise the figures."))</f>
        <v/>
      </c>
      <c r="E882" s="192"/>
      <c r="F882" s="192"/>
      <c r="G882" s="192"/>
      <c r="H882" s="192"/>
      <c r="I882" s="192"/>
      <c r="J882" s="192"/>
      <c r="K882" s="192"/>
      <c r="L882" s="192"/>
      <c r="M882" s="192"/>
      <c r="N882" s="192"/>
      <c r="O882" s="192"/>
      <c r="P882" s="88"/>
      <c r="R882" s="89"/>
      <c r="T882" s="11" t="str">
        <f>IF(D882="","G","R")</f>
        <v>G</v>
      </c>
    </row>
    <row r="883" spans="2:20" ht="25.5" x14ac:dyDescent="0.25">
      <c r="B883" s="90"/>
      <c r="C883" s="102" t="str">
        <f>$B$880&amp;"-"&amp;D883</f>
        <v>FI-JR-66-F-AF</v>
      </c>
      <c r="D883" s="91" t="s">
        <v>1093</v>
      </c>
      <c r="E883" s="103" t="s">
        <v>317</v>
      </c>
      <c r="F883" s="93"/>
      <c r="G883" s="116">
        <v>0</v>
      </c>
      <c r="H883" s="105" t="str">
        <f>$B$880&amp;"-"&amp;I883</f>
        <v>FI-JR-66-F-LA</v>
      </c>
      <c r="I883" s="91" t="s">
        <v>1317</v>
      </c>
      <c r="J883" s="92" t="s">
        <v>1312</v>
      </c>
      <c r="K883" s="116">
        <v>0</v>
      </c>
      <c r="L883" s="105" t="str">
        <f>$B$880&amp;"-"&amp;M883</f>
        <v>FI-JR-66-F-TZ</v>
      </c>
      <c r="M883" s="91" t="s">
        <v>1110</v>
      </c>
      <c r="N883" s="92" t="s">
        <v>526</v>
      </c>
      <c r="O883" s="99">
        <v>0</v>
      </c>
      <c r="P883" s="95"/>
      <c r="R883" s="89"/>
      <c r="T883" s="11" t="str">
        <f>IF(OR(AND(OR(ISBLANK(G883),ISBLANK(K883),ISBLANK(O883)),$R$880&gt;0),AND($R$880&lt;=0,OR(OR(G883&lt;&gt;0,K883&lt;&gt;0,O883&lt;&gt;0)))),"R","G")</f>
        <v>G</v>
      </c>
    </row>
    <row r="884" spans="2:20" x14ac:dyDescent="0.25">
      <c r="B884" s="90"/>
      <c r="C884" s="102" t="str">
        <f t="shared" ref="C884:C895" si="181">$B$880&amp;"-"&amp;D884</f>
        <v>FI-JR-66-F-DZ</v>
      </c>
      <c r="D884" s="91" t="s">
        <v>1094</v>
      </c>
      <c r="E884" s="103" t="s">
        <v>319</v>
      </c>
      <c r="F884" s="93"/>
      <c r="G884" s="116">
        <v>0</v>
      </c>
      <c r="H884" s="105" t="str">
        <f t="shared" ref="H884:H895" si="182">$B$880&amp;"-"&amp;I884</f>
        <v>FI-JR-66-F-LB</v>
      </c>
      <c r="I884" s="91" t="s">
        <v>1102</v>
      </c>
      <c r="J884" s="92" t="s">
        <v>434</v>
      </c>
      <c r="K884" s="116">
        <v>0</v>
      </c>
      <c r="L884" s="105" t="str">
        <f t="shared" ref="L884:L889" si="183">$B$880&amp;"-"&amp;M884</f>
        <v>FI-JR-66-F-TT</v>
      </c>
      <c r="M884" s="91" t="s">
        <v>1111</v>
      </c>
      <c r="N884" s="92" t="s">
        <v>532</v>
      </c>
      <c r="O884" s="99">
        <v>0</v>
      </c>
      <c r="P884" s="95"/>
      <c r="R884" s="89"/>
      <c r="T884" s="11" t="str">
        <f t="shared" ref="T884:T889" si="184">IF(OR(AND(OR(ISBLANK(G884),ISBLANK(K884),ISBLANK(O884)),$R$880&gt;0),AND($R$880&lt;=0,OR(OR(G884&lt;&gt;0,K884&lt;&gt;0,O884&lt;&gt;0)))),"R","G")</f>
        <v>G</v>
      </c>
    </row>
    <row r="885" spans="2:20" x14ac:dyDescent="0.25">
      <c r="B885" s="90"/>
      <c r="C885" s="102" t="str">
        <f t="shared" si="181"/>
        <v>FI-JR-66-F-AO</v>
      </c>
      <c r="D885" s="91" t="s">
        <v>1095</v>
      </c>
      <c r="E885" s="103" t="s">
        <v>322</v>
      </c>
      <c r="F885" s="93"/>
      <c r="G885" s="116">
        <v>0</v>
      </c>
      <c r="H885" s="105" t="str">
        <f t="shared" si="182"/>
        <v>FI-JR-66-F-ML</v>
      </c>
      <c r="I885" s="91" t="s">
        <v>1103</v>
      </c>
      <c r="J885" s="92" t="s">
        <v>447</v>
      </c>
      <c r="K885" s="116">
        <v>0</v>
      </c>
      <c r="L885" s="105" t="str">
        <f t="shared" si="183"/>
        <v>FI-JR-66-F-VU</v>
      </c>
      <c r="M885" s="91" t="s">
        <v>1112</v>
      </c>
      <c r="N885" s="92" t="s">
        <v>546</v>
      </c>
      <c r="O885" s="99">
        <v>0</v>
      </c>
      <c r="P885" s="95"/>
      <c r="R885" s="89"/>
      <c r="T885" s="11" t="str">
        <f t="shared" si="184"/>
        <v>G</v>
      </c>
    </row>
    <row r="886" spans="2:20" x14ac:dyDescent="0.25">
      <c r="B886" s="90"/>
      <c r="C886" s="102" t="str">
        <f t="shared" si="181"/>
        <v>FI-JR-66-F-BO</v>
      </c>
      <c r="D886" s="91" t="s">
        <v>1316</v>
      </c>
      <c r="E886" s="103" t="s">
        <v>342</v>
      </c>
      <c r="F886" s="93"/>
      <c r="G886" s="116">
        <v>0</v>
      </c>
      <c r="H886" s="105" t="str">
        <f t="shared" si="182"/>
        <v>FI-JR-66-F-MN</v>
      </c>
      <c r="I886" s="91" t="s">
        <v>1315</v>
      </c>
      <c r="J886" s="92" t="s">
        <v>457</v>
      </c>
      <c r="K886" s="116">
        <v>0</v>
      </c>
      <c r="L886" s="105" t="str">
        <f t="shared" si="183"/>
        <v>FI-JR-66-F-VE</v>
      </c>
      <c r="M886" s="91" t="s">
        <v>1113</v>
      </c>
      <c r="N886" s="92" t="s">
        <v>547</v>
      </c>
      <c r="O886" s="99">
        <v>0</v>
      </c>
      <c r="P886" s="95"/>
      <c r="R886" s="89"/>
      <c r="T886" s="11" t="str">
        <f t="shared" si="184"/>
        <v>G</v>
      </c>
    </row>
    <row r="887" spans="2:20" x14ac:dyDescent="0.25">
      <c r="B887" s="90"/>
      <c r="C887" s="102" t="str">
        <f t="shared" si="181"/>
        <v>FI-JR-66-F-BG</v>
      </c>
      <c r="D887" s="91" t="s">
        <v>1096</v>
      </c>
      <c r="E887" s="103" t="s">
        <v>349</v>
      </c>
      <c r="F887" s="93"/>
      <c r="G887" s="116">
        <v>0</v>
      </c>
      <c r="H887" s="105" t="str">
        <f t="shared" si="182"/>
        <v>FI-JR-66-F-MZ</v>
      </c>
      <c r="I887" s="91" t="s">
        <v>1104</v>
      </c>
      <c r="J887" s="92" t="s">
        <v>461</v>
      </c>
      <c r="K887" s="116">
        <v>0</v>
      </c>
      <c r="L887" s="105" t="str">
        <f t="shared" si="183"/>
        <v>FI-JR-66-F-VN</v>
      </c>
      <c r="M887" s="91" t="s">
        <v>1114</v>
      </c>
      <c r="N887" s="92" t="s">
        <v>1313</v>
      </c>
      <c r="O887" s="99">
        <v>0</v>
      </c>
      <c r="P887" s="95"/>
      <c r="R887" s="89"/>
      <c r="T887" s="11" t="str">
        <f t="shared" si="184"/>
        <v>G</v>
      </c>
    </row>
    <row r="888" spans="2:20" x14ac:dyDescent="0.25">
      <c r="B888" s="90"/>
      <c r="C888" s="102" t="str">
        <f t="shared" si="181"/>
        <v>FI-JR-66-F-BF</v>
      </c>
      <c r="D888" s="91" t="s">
        <v>1097</v>
      </c>
      <c r="E888" s="103" t="s">
        <v>350</v>
      </c>
      <c r="F888" s="93"/>
      <c r="G888" s="116">
        <v>0</v>
      </c>
      <c r="H888" s="105" t="str">
        <f t="shared" si="182"/>
        <v>FI-JR-66-F-MM</v>
      </c>
      <c r="I888" s="91" t="s">
        <v>1105</v>
      </c>
      <c r="J888" s="92" t="s">
        <v>462</v>
      </c>
      <c r="K888" s="116">
        <v>0</v>
      </c>
      <c r="L888" s="105" t="str">
        <f t="shared" si="183"/>
        <v>FI-JR-66-F-VI</v>
      </c>
      <c r="M888" s="91" t="s">
        <v>1319</v>
      </c>
      <c r="N888" s="92" t="s">
        <v>1314</v>
      </c>
      <c r="O888" s="99">
        <v>0</v>
      </c>
      <c r="P888" s="95"/>
      <c r="R888" s="89"/>
      <c r="T888" s="11" t="str">
        <f t="shared" si="184"/>
        <v>G</v>
      </c>
    </row>
    <row r="889" spans="2:20" x14ac:dyDescent="0.25">
      <c r="B889" s="90"/>
      <c r="C889" s="102" t="str">
        <f t="shared" si="181"/>
        <v>FI-JR-66-F-CM</v>
      </c>
      <c r="D889" s="91" t="s">
        <v>1098</v>
      </c>
      <c r="E889" s="103" t="s">
        <v>353</v>
      </c>
      <c r="F889" s="93"/>
      <c r="G889" s="116">
        <v>0</v>
      </c>
      <c r="H889" s="105" t="str">
        <f t="shared" si="182"/>
        <v>FI-JR-66-F-NA</v>
      </c>
      <c r="I889" s="91" t="s">
        <v>1106</v>
      </c>
      <c r="J889" s="92" t="s">
        <v>463</v>
      </c>
      <c r="K889" s="116">
        <v>0</v>
      </c>
      <c r="L889" s="105" t="str">
        <f t="shared" si="183"/>
        <v>FI-JR-66-F-YE</v>
      </c>
      <c r="M889" s="91" t="s">
        <v>1115</v>
      </c>
      <c r="N889" s="92" t="s">
        <v>553</v>
      </c>
      <c r="O889" s="99">
        <v>0</v>
      </c>
      <c r="P889" s="95"/>
      <c r="R889" s="89"/>
      <c r="T889" s="11" t="str">
        <f t="shared" si="184"/>
        <v>G</v>
      </c>
    </row>
    <row r="890" spans="2:20" ht="38.25" x14ac:dyDescent="0.25">
      <c r="B890" s="90"/>
      <c r="C890" s="102" t="str">
        <f t="shared" si="181"/>
        <v>FI-JR-66-F-CD</v>
      </c>
      <c r="D890" s="91" t="s">
        <v>1099</v>
      </c>
      <c r="E890" s="103" t="s">
        <v>366</v>
      </c>
      <c r="F890" s="93"/>
      <c r="G890" s="116">
        <v>0</v>
      </c>
      <c r="H890" s="105" t="str">
        <f t="shared" si="182"/>
        <v>FI-JR-66-F-NP</v>
      </c>
      <c r="I890" s="91" t="s">
        <v>1318</v>
      </c>
      <c r="J890" s="92" t="s">
        <v>465</v>
      </c>
      <c r="K890" s="116">
        <v>0</v>
      </c>
      <c r="L890" s="95"/>
      <c r="M890" s="95"/>
      <c r="N890" s="95"/>
      <c r="O890" s="95"/>
      <c r="P890" s="95"/>
      <c r="R890" s="89"/>
      <c r="T890" s="11" t="str">
        <f t="shared" ref="T890:T895" si="185">IF(OR(AND(OR(ISBLANK(G890),ISBLANK(K890)),$R$880&gt;0),AND($R$880&lt;=0,OR(OR(G890&lt;&gt;0,K890&lt;&gt;0)))),"R","G")</f>
        <v>G</v>
      </c>
    </row>
    <row r="891" spans="2:20" x14ac:dyDescent="0.25">
      <c r="B891" s="90"/>
      <c r="C891" s="102" t="str">
        <f t="shared" si="181"/>
        <v>FI-JR-66-F-CI</v>
      </c>
      <c r="D891" s="91" t="s">
        <v>1091</v>
      </c>
      <c r="E891" s="103" t="s">
        <v>369</v>
      </c>
      <c r="F891" s="93"/>
      <c r="G891" s="116">
        <v>0</v>
      </c>
      <c r="H891" s="105" t="str">
        <f t="shared" si="182"/>
        <v>FI-JR-66-F-NG</v>
      </c>
      <c r="I891" s="91" t="s">
        <v>1107</v>
      </c>
      <c r="J891" s="92" t="s">
        <v>472</v>
      </c>
      <c r="K891" s="116">
        <v>0</v>
      </c>
      <c r="L891" s="95"/>
      <c r="M891" s="95"/>
      <c r="N891" s="95"/>
      <c r="O891" s="95"/>
      <c r="P891" s="95"/>
      <c r="R891" s="89"/>
      <c r="T891" s="11" t="str">
        <f t="shared" si="185"/>
        <v>G</v>
      </c>
    </row>
    <row r="892" spans="2:20" x14ac:dyDescent="0.25">
      <c r="B892" s="90"/>
      <c r="C892" s="102" t="str">
        <f t="shared" si="181"/>
        <v>FI-JR-66-F-HT</v>
      </c>
      <c r="D892" s="91" t="s">
        <v>1100</v>
      </c>
      <c r="E892" s="103" t="s">
        <v>408</v>
      </c>
      <c r="F892" s="93"/>
      <c r="G892" s="116">
        <v>0</v>
      </c>
      <c r="H892" s="105" t="str">
        <f t="shared" si="182"/>
        <v>FI-JR-66-F-RU</v>
      </c>
      <c r="I892" s="91" t="s">
        <v>1321</v>
      </c>
      <c r="J892" s="92" t="s">
        <v>1320</v>
      </c>
      <c r="K892" s="116">
        <v>0</v>
      </c>
      <c r="L892" s="95"/>
      <c r="M892" s="95"/>
      <c r="N892" s="95"/>
      <c r="O892" s="95"/>
      <c r="P892" s="95"/>
      <c r="R892" s="89"/>
      <c r="T892" s="11" t="str">
        <f t="shared" si="185"/>
        <v>G</v>
      </c>
    </row>
    <row r="893" spans="2:20" ht="25.5" x14ac:dyDescent="0.25">
      <c r="B893" s="90"/>
      <c r="C893" s="102" t="str">
        <f t="shared" si="181"/>
        <v>FI-JR-66-F-IR</v>
      </c>
      <c r="D893" s="91" t="s">
        <v>912</v>
      </c>
      <c r="E893" s="103" t="s">
        <v>417</v>
      </c>
      <c r="F893" s="93"/>
      <c r="G893" s="116">
        <v>0</v>
      </c>
      <c r="H893" s="105" t="str">
        <f t="shared" si="182"/>
        <v>FI-JR-66-F-ZA</v>
      </c>
      <c r="I893" s="91" t="s">
        <v>1108</v>
      </c>
      <c r="J893" s="92" t="s">
        <v>513</v>
      </c>
      <c r="K893" s="116">
        <v>0</v>
      </c>
      <c r="L893" s="95"/>
      <c r="M893" s="95"/>
      <c r="N893" s="95"/>
      <c r="O893" s="95"/>
      <c r="P893" s="95"/>
      <c r="R893" s="89"/>
      <c r="T893" s="11" t="str">
        <f t="shared" si="185"/>
        <v>G</v>
      </c>
    </row>
    <row r="894" spans="2:20" x14ac:dyDescent="0.25">
      <c r="B894" s="90"/>
      <c r="C894" s="102" t="str">
        <f t="shared" si="181"/>
        <v>FI-JR-66-F-KE</v>
      </c>
      <c r="D894" s="91" t="s">
        <v>1101</v>
      </c>
      <c r="E894" s="103" t="s">
        <v>426</v>
      </c>
      <c r="F894" s="93"/>
      <c r="G894" s="116">
        <v>0</v>
      </c>
      <c r="H894" s="105" t="str">
        <f t="shared" si="182"/>
        <v>FI-JR-66-F-SS</v>
      </c>
      <c r="I894" s="91" t="s">
        <v>1089</v>
      </c>
      <c r="J894" s="92" t="s">
        <v>1088</v>
      </c>
      <c r="K894" s="99">
        <v>0</v>
      </c>
      <c r="L894" s="94"/>
      <c r="M894" s="95"/>
      <c r="N894" s="95"/>
      <c r="O894" s="95"/>
      <c r="P894" s="95"/>
      <c r="R894" s="89"/>
      <c r="T894" s="11" t="str">
        <f t="shared" si="185"/>
        <v>G</v>
      </c>
    </row>
    <row r="895" spans="2:20" ht="25.5" x14ac:dyDescent="0.25">
      <c r="B895" s="90"/>
      <c r="C895" s="102" t="str">
        <f t="shared" si="181"/>
        <v>FI-JR-66-F-KP</v>
      </c>
      <c r="D895" s="91" t="s">
        <v>1090</v>
      </c>
      <c r="E895" s="103" t="s">
        <v>428</v>
      </c>
      <c r="F895" s="96"/>
      <c r="G895" s="116">
        <v>0</v>
      </c>
      <c r="H895" s="105" t="str">
        <f t="shared" si="182"/>
        <v>FI-JR-66-F-SY</v>
      </c>
      <c r="I895" s="91" t="s">
        <v>1109</v>
      </c>
      <c r="J895" s="92" t="s">
        <v>523</v>
      </c>
      <c r="K895" s="99">
        <v>0</v>
      </c>
      <c r="L895" s="94"/>
      <c r="M895" s="95"/>
      <c r="N895" s="95"/>
      <c r="O895" s="95"/>
      <c r="P895" s="95"/>
      <c r="R895" s="89"/>
      <c r="T895" s="11" t="str">
        <f t="shared" si="185"/>
        <v>G</v>
      </c>
    </row>
    <row r="896" spans="2:20" x14ac:dyDescent="0.25">
      <c r="E896" s="52"/>
      <c r="F896" s="52"/>
      <c r="G896" s="52"/>
      <c r="H896" s="52"/>
      <c r="I896" s="52"/>
      <c r="J896" s="52"/>
      <c r="K896" s="52"/>
      <c r="L896" s="52"/>
      <c r="M896" s="52"/>
      <c r="N896" s="52"/>
      <c r="O896" s="52"/>
      <c r="P896" s="52"/>
    </row>
    <row r="897" spans="1:20" ht="7.35" customHeight="1" x14ac:dyDescent="0.25">
      <c r="B897" s="71"/>
      <c r="C897" s="71"/>
      <c r="D897" s="15"/>
      <c r="E897" s="15"/>
      <c r="F897" s="15"/>
      <c r="G897" s="15"/>
      <c r="H897" s="15"/>
      <c r="I897" s="15"/>
      <c r="J897" s="15"/>
      <c r="K897" s="15"/>
      <c r="L897" s="15"/>
      <c r="M897" s="72"/>
      <c r="N897" s="72"/>
      <c r="O897" s="72"/>
      <c r="P897" s="72"/>
      <c r="Q897" s="73"/>
      <c r="R897" s="74"/>
    </row>
    <row r="898" spans="1:20" ht="7.15" customHeight="1" x14ac:dyDescent="0.25">
      <c r="A898" s="75"/>
      <c r="B898" s="76"/>
      <c r="C898" s="76"/>
      <c r="D898" s="77"/>
      <c r="E898" s="77"/>
      <c r="F898" s="77"/>
      <c r="G898" s="77"/>
      <c r="H898" s="77"/>
      <c r="I898" s="77"/>
      <c r="J898" s="77"/>
      <c r="K898" s="77"/>
      <c r="L898" s="77"/>
      <c r="M898" s="77"/>
      <c r="N898" s="77"/>
      <c r="O898" s="77"/>
      <c r="P898" s="77"/>
      <c r="Q898" s="75"/>
      <c r="R898" s="78"/>
      <c r="S898" s="75"/>
      <c r="T898" s="12"/>
    </row>
    <row r="899" spans="1:20" ht="6.75" customHeight="1" x14ac:dyDescent="0.25">
      <c r="B899" s="71"/>
      <c r="C899" s="71"/>
      <c r="D899" s="15"/>
      <c r="E899" s="15"/>
      <c r="F899" s="15"/>
      <c r="G899" s="15"/>
      <c r="H899" s="15"/>
      <c r="I899" s="15"/>
      <c r="J899" s="15"/>
      <c r="K899" s="15"/>
      <c r="L899" s="15"/>
      <c r="M899" s="15"/>
      <c r="N899" s="15"/>
      <c r="O899" s="15"/>
      <c r="P899" s="15"/>
      <c r="R899" s="74"/>
    </row>
    <row r="900" spans="1:20" ht="19.5" thickBot="1" x14ac:dyDescent="0.3">
      <c r="B900" s="38" t="s">
        <v>188</v>
      </c>
      <c r="C900" s="38"/>
      <c r="D900" s="39" t="s">
        <v>1177</v>
      </c>
      <c r="E900" s="40"/>
      <c r="F900" s="40"/>
      <c r="G900" s="40"/>
      <c r="H900" s="40"/>
      <c r="I900" s="40"/>
      <c r="J900" s="40"/>
      <c r="K900" s="40"/>
      <c r="L900" s="40"/>
      <c r="M900" s="40"/>
      <c r="N900" s="40"/>
      <c r="O900" s="40"/>
      <c r="P900" s="40"/>
      <c r="Q900" s="37"/>
      <c r="R900" s="42"/>
      <c r="S900" s="37"/>
    </row>
    <row r="901" spans="1:20" x14ac:dyDescent="0.25">
      <c r="E901" s="52"/>
      <c r="F901" s="52"/>
      <c r="G901" s="52"/>
      <c r="H901" s="52"/>
      <c r="I901" s="52"/>
      <c r="J901" s="52"/>
      <c r="K901" s="52"/>
      <c r="L901" s="52"/>
      <c r="M901" s="52"/>
      <c r="N901" s="52"/>
      <c r="O901" s="52"/>
      <c r="P901" s="52"/>
    </row>
    <row r="902" spans="1:20" ht="37.5" customHeight="1" x14ac:dyDescent="0.25">
      <c r="B902" s="15" t="s">
        <v>1183</v>
      </c>
      <c r="D902" s="186" t="s">
        <v>1230</v>
      </c>
      <c r="E902" s="186"/>
      <c r="F902" s="186"/>
      <c r="G902" s="186"/>
      <c r="H902" s="186"/>
      <c r="I902" s="186"/>
      <c r="J902" s="186"/>
      <c r="K902" s="186"/>
      <c r="L902" s="186"/>
      <c r="M902" s="186"/>
      <c r="N902" s="186"/>
      <c r="O902" s="186"/>
      <c r="P902" s="52"/>
      <c r="R902" s="10"/>
    </row>
    <row r="903" spans="1:20" ht="52.5" customHeight="1" x14ac:dyDescent="0.25">
      <c r="D903" s="190" t="s">
        <v>1349</v>
      </c>
      <c r="E903" s="190"/>
      <c r="F903" s="190"/>
      <c r="G903" s="190"/>
      <c r="H903" s="190"/>
      <c r="I903" s="190"/>
      <c r="J903" s="190"/>
      <c r="K903" s="190"/>
      <c r="L903" s="190"/>
      <c r="M903" s="190"/>
      <c r="N903" s="190"/>
      <c r="O903" s="190"/>
      <c r="P903" s="190"/>
      <c r="R903" s="101"/>
    </row>
    <row r="904" spans="1:20" ht="15" customHeight="1" x14ac:dyDescent="0.25">
      <c r="B904" s="46" t="str">
        <f>B902&amp;"-M"</f>
        <v>FI-JR-68-M</v>
      </c>
      <c r="C904" s="46"/>
      <c r="D904" s="84"/>
      <c r="E904" s="189" t="s">
        <v>448</v>
      </c>
      <c r="F904" s="189"/>
      <c r="G904" s="189"/>
      <c r="H904" s="189"/>
      <c r="I904" s="189"/>
      <c r="J904" s="189"/>
      <c r="K904" s="189"/>
      <c r="L904" s="189"/>
      <c r="M904" s="189"/>
      <c r="N904" s="189"/>
      <c r="O904" s="189"/>
      <c r="P904" s="52"/>
      <c r="R904" s="67"/>
      <c r="T904" s="11" t="str">
        <f>IF(OR(AND(ISBLANK(R904),CR.76&gt;0),AND(CR.76&lt;=0,NOT(ISBLANK(R904)))),"R","G")</f>
        <v>G</v>
      </c>
    </row>
    <row r="905" spans="1:20" ht="15" customHeight="1" x14ac:dyDescent="0.25">
      <c r="B905" s="46" t="str">
        <f>B902&amp;"-E"</f>
        <v>FI-JR-68-E</v>
      </c>
      <c r="C905" s="46"/>
      <c r="D905" s="84"/>
      <c r="E905" s="189" t="s">
        <v>1084</v>
      </c>
      <c r="F905" s="189"/>
      <c r="G905" s="189"/>
      <c r="H905" s="189"/>
      <c r="I905" s="189"/>
      <c r="J905" s="189"/>
      <c r="K905" s="189"/>
      <c r="L905" s="189"/>
      <c r="M905" s="189"/>
      <c r="N905" s="189"/>
      <c r="O905" s="189"/>
      <c r="P905" s="52"/>
      <c r="R905" s="67"/>
      <c r="T905" s="11" t="str">
        <f>IF(OR(AND(ISBLANK(R905),CR.76&gt;0),AND(CR.76&lt;=0,NOT(ISBLANK(R905)))),"R","G")</f>
        <v>G</v>
      </c>
    </row>
    <row r="906" spans="1:20" ht="15" customHeight="1" x14ac:dyDescent="0.25">
      <c r="B906" s="46" t="str">
        <f>B902&amp;"-N"</f>
        <v>FI-JR-68-N</v>
      </c>
      <c r="C906" s="46"/>
      <c r="D906" s="84"/>
      <c r="E906" s="189" t="s">
        <v>1085</v>
      </c>
      <c r="F906" s="189"/>
      <c r="G906" s="189"/>
      <c r="H906" s="189"/>
      <c r="I906" s="189"/>
      <c r="J906" s="189"/>
      <c r="K906" s="189"/>
      <c r="L906" s="189"/>
      <c r="M906" s="189"/>
      <c r="N906" s="189"/>
      <c r="O906" s="189"/>
      <c r="P906" s="52"/>
      <c r="R906" s="67"/>
      <c r="T906" s="11" t="str">
        <f>IF(OR(AND(ISBLANK(R906),CR.76&gt;0),AND(CR.76&lt;=0,NOT(ISBLANK(R906)))),"R","G")</f>
        <v>G</v>
      </c>
    </row>
    <row r="907" spans="1:20" ht="27" customHeight="1" x14ac:dyDescent="0.25">
      <c r="B907" s="46" t="str">
        <f>B902&amp;"-F"</f>
        <v>FI-JR-68-F</v>
      </c>
      <c r="C907" s="46"/>
      <c r="D907" s="84"/>
      <c r="E907" s="191" t="s">
        <v>1086</v>
      </c>
      <c r="F907" s="191"/>
      <c r="G907" s="191"/>
      <c r="H907" s="191"/>
      <c r="I907" s="191"/>
      <c r="J907" s="191"/>
      <c r="K907" s="191"/>
      <c r="L907" s="191"/>
      <c r="M907" s="191"/>
      <c r="N907" s="191"/>
      <c r="O907" s="191"/>
      <c r="P907" s="86"/>
      <c r="R907" s="67"/>
      <c r="T907" s="11" t="str">
        <f>IF(OR(AND(ISBLANK(R907),CR.76&gt;0),AND(CR.76&lt;=0,NOT(ISBLANK(R907)))),"R","G")</f>
        <v>G</v>
      </c>
    </row>
    <row r="908" spans="1:20" ht="9.75" customHeight="1" x14ac:dyDescent="0.25">
      <c r="B908" s="10"/>
      <c r="C908" s="10"/>
      <c r="D908" s="10"/>
      <c r="E908" s="10"/>
      <c r="F908" s="10"/>
      <c r="G908" s="10"/>
      <c r="H908" s="10"/>
      <c r="I908" s="10"/>
      <c r="J908" s="10"/>
      <c r="K908" s="10"/>
      <c r="L908" s="10"/>
      <c r="M908" s="10"/>
      <c r="N908" s="10"/>
      <c r="O908" s="10"/>
      <c r="P908" s="10"/>
      <c r="R908" s="10"/>
    </row>
    <row r="909" spans="1:20" ht="15" customHeight="1" x14ac:dyDescent="0.25">
      <c r="B909" s="87"/>
      <c r="C909" s="87"/>
      <c r="D909" s="192" t="str">
        <f>IF(R907=0,"",IF(SUM(G910:G922,K910:K922,O910:O916)=R907,"","The totals included next to each jurisdiction do not add up to "&amp;R907&amp;", please revise the figures."))</f>
        <v/>
      </c>
      <c r="E909" s="192"/>
      <c r="F909" s="192"/>
      <c r="G909" s="192"/>
      <c r="H909" s="192"/>
      <c r="I909" s="192"/>
      <c r="J909" s="192"/>
      <c r="K909" s="192"/>
      <c r="L909" s="192"/>
      <c r="M909" s="192"/>
      <c r="N909" s="192"/>
      <c r="O909" s="192"/>
      <c r="P909" s="88"/>
      <c r="R909" s="89"/>
      <c r="T909" s="11" t="str">
        <f>IF(D909="","G","R")</f>
        <v>G</v>
      </c>
    </row>
    <row r="910" spans="1:20" ht="25.5" x14ac:dyDescent="0.25">
      <c r="B910" s="90"/>
      <c r="C910" s="102" t="str">
        <f>$B$907&amp;"-"&amp;D910</f>
        <v>FI-JR-68-F-AF</v>
      </c>
      <c r="D910" s="91" t="s">
        <v>1093</v>
      </c>
      <c r="E910" s="103" t="s">
        <v>317</v>
      </c>
      <c r="F910" s="93"/>
      <c r="G910" s="116">
        <v>0</v>
      </c>
      <c r="H910" s="105" t="str">
        <f>$B$907&amp;"-"&amp;I910</f>
        <v>FI-JR-68-F-LA</v>
      </c>
      <c r="I910" s="91" t="s">
        <v>1317</v>
      </c>
      <c r="J910" s="92" t="s">
        <v>1312</v>
      </c>
      <c r="K910" s="116">
        <v>0</v>
      </c>
      <c r="L910" s="105" t="str">
        <f>$B$907&amp;"-"&amp;M910</f>
        <v>FI-JR-68-F-TZ</v>
      </c>
      <c r="M910" s="91" t="s">
        <v>1110</v>
      </c>
      <c r="N910" s="92" t="s">
        <v>526</v>
      </c>
      <c r="O910" s="99">
        <v>0</v>
      </c>
      <c r="P910" s="95"/>
      <c r="R910" s="89"/>
      <c r="T910" s="11" t="str">
        <f>IF(OR(AND(OR(ISBLANK(G910),ISBLANK(K910),ISBLANK(O910)),$R$907&gt;0),AND($R$907&lt;=0,OR(OR(G910&lt;&gt;0,K910&lt;&gt;0,O910&lt;&gt;0)))),"R","G")</f>
        <v>G</v>
      </c>
    </row>
    <row r="911" spans="1:20" x14ac:dyDescent="0.25">
      <c r="B911" s="90"/>
      <c r="C911" s="102" t="str">
        <f t="shared" ref="C911:C922" si="186">$B$907&amp;"-"&amp;D911</f>
        <v>FI-JR-68-F-DZ</v>
      </c>
      <c r="D911" s="91" t="s">
        <v>1094</v>
      </c>
      <c r="E911" s="103" t="s">
        <v>319</v>
      </c>
      <c r="F911" s="93"/>
      <c r="G911" s="116">
        <v>0</v>
      </c>
      <c r="H911" s="105" t="str">
        <f t="shared" ref="H911:H922" si="187">$B$907&amp;"-"&amp;I911</f>
        <v>FI-JR-68-F-LB</v>
      </c>
      <c r="I911" s="91" t="s">
        <v>1102</v>
      </c>
      <c r="J911" s="92" t="s">
        <v>434</v>
      </c>
      <c r="K911" s="116">
        <v>0</v>
      </c>
      <c r="L911" s="105" t="str">
        <f t="shared" ref="L911:L916" si="188">$B$907&amp;"-"&amp;M911</f>
        <v>FI-JR-68-F-TT</v>
      </c>
      <c r="M911" s="91" t="s">
        <v>1111</v>
      </c>
      <c r="N911" s="92" t="s">
        <v>532</v>
      </c>
      <c r="O911" s="99">
        <v>0</v>
      </c>
      <c r="P911" s="95"/>
      <c r="R911" s="89"/>
      <c r="T911" s="11" t="str">
        <f t="shared" ref="T911:T916" si="189">IF(OR(AND(OR(ISBLANK(G911),ISBLANK(K911),ISBLANK(O911)),$R$907&gt;0),AND($R$907&lt;=0,OR(OR(G911&lt;&gt;0,K911&lt;&gt;0,O911&lt;&gt;0)))),"R","G")</f>
        <v>G</v>
      </c>
    </row>
    <row r="912" spans="1:20" x14ac:dyDescent="0.25">
      <c r="B912" s="90"/>
      <c r="C912" s="102" t="str">
        <f t="shared" si="186"/>
        <v>FI-JR-68-F-AO</v>
      </c>
      <c r="D912" s="91" t="s">
        <v>1095</v>
      </c>
      <c r="E912" s="103" t="s">
        <v>322</v>
      </c>
      <c r="F912" s="93"/>
      <c r="G912" s="116">
        <v>0</v>
      </c>
      <c r="H912" s="105" t="str">
        <f t="shared" si="187"/>
        <v>FI-JR-68-F-ML</v>
      </c>
      <c r="I912" s="91" t="s">
        <v>1103</v>
      </c>
      <c r="J912" s="92" t="s">
        <v>447</v>
      </c>
      <c r="K912" s="116">
        <v>0</v>
      </c>
      <c r="L912" s="105" t="str">
        <f t="shared" si="188"/>
        <v>FI-JR-68-F-VU</v>
      </c>
      <c r="M912" s="91" t="s">
        <v>1112</v>
      </c>
      <c r="N912" s="92" t="s">
        <v>546</v>
      </c>
      <c r="O912" s="99">
        <v>0</v>
      </c>
      <c r="P912" s="95"/>
      <c r="R912" s="89"/>
      <c r="T912" s="11" t="str">
        <f t="shared" si="189"/>
        <v>G</v>
      </c>
    </row>
    <row r="913" spans="1:20" x14ac:dyDescent="0.25">
      <c r="B913" s="90"/>
      <c r="C913" s="102" t="str">
        <f t="shared" si="186"/>
        <v>FI-JR-68-F-BO</v>
      </c>
      <c r="D913" s="91" t="s">
        <v>1316</v>
      </c>
      <c r="E913" s="103" t="s">
        <v>342</v>
      </c>
      <c r="F913" s="93"/>
      <c r="G913" s="116">
        <v>0</v>
      </c>
      <c r="H913" s="105" t="str">
        <f t="shared" si="187"/>
        <v>FI-JR-68-F-MN</v>
      </c>
      <c r="I913" s="91" t="s">
        <v>1315</v>
      </c>
      <c r="J913" s="92" t="s">
        <v>457</v>
      </c>
      <c r="K913" s="116">
        <v>0</v>
      </c>
      <c r="L913" s="105" t="str">
        <f t="shared" si="188"/>
        <v>FI-JR-68-F-VE</v>
      </c>
      <c r="M913" s="91" t="s">
        <v>1113</v>
      </c>
      <c r="N913" s="92" t="s">
        <v>547</v>
      </c>
      <c r="O913" s="99">
        <v>0</v>
      </c>
      <c r="P913" s="95"/>
      <c r="R913" s="89"/>
      <c r="T913" s="11" t="str">
        <f t="shared" si="189"/>
        <v>G</v>
      </c>
    </row>
    <row r="914" spans="1:20" x14ac:dyDescent="0.25">
      <c r="B914" s="90"/>
      <c r="C914" s="102" t="str">
        <f t="shared" si="186"/>
        <v>FI-JR-68-F-BG</v>
      </c>
      <c r="D914" s="91" t="s">
        <v>1096</v>
      </c>
      <c r="E914" s="103" t="s">
        <v>349</v>
      </c>
      <c r="F914" s="93"/>
      <c r="G914" s="116">
        <v>0</v>
      </c>
      <c r="H914" s="105" t="str">
        <f t="shared" si="187"/>
        <v>FI-JR-68-F-MZ</v>
      </c>
      <c r="I914" s="91" t="s">
        <v>1104</v>
      </c>
      <c r="J914" s="92" t="s">
        <v>461</v>
      </c>
      <c r="K914" s="116">
        <v>0</v>
      </c>
      <c r="L914" s="105" t="str">
        <f t="shared" si="188"/>
        <v>FI-JR-68-F-VN</v>
      </c>
      <c r="M914" s="91" t="s">
        <v>1114</v>
      </c>
      <c r="N914" s="92" t="s">
        <v>1313</v>
      </c>
      <c r="O914" s="99">
        <v>0</v>
      </c>
      <c r="P914" s="95"/>
      <c r="R914" s="89"/>
      <c r="T914" s="11" t="str">
        <f t="shared" si="189"/>
        <v>G</v>
      </c>
    </row>
    <row r="915" spans="1:20" x14ac:dyDescent="0.25">
      <c r="B915" s="90"/>
      <c r="C915" s="102" t="str">
        <f t="shared" si="186"/>
        <v>FI-JR-68-F-BF</v>
      </c>
      <c r="D915" s="91" t="s">
        <v>1097</v>
      </c>
      <c r="E915" s="103" t="s">
        <v>350</v>
      </c>
      <c r="F915" s="93"/>
      <c r="G915" s="116">
        <v>0</v>
      </c>
      <c r="H915" s="105" t="str">
        <f t="shared" si="187"/>
        <v>FI-JR-68-F-MM</v>
      </c>
      <c r="I915" s="91" t="s">
        <v>1105</v>
      </c>
      <c r="J915" s="92" t="s">
        <v>462</v>
      </c>
      <c r="K915" s="116">
        <v>0</v>
      </c>
      <c r="L915" s="105" t="str">
        <f t="shared" si="188"/>
        <v>FI-JR-68-F-VI</v>
      </c>
      <c r="M915" s="91" t="s">
        <v>1319</v>
      </c>
      <c r="N915" s="92" t="s">
        <v>1314</v>
      </c>
      <c r="O915" s="99">
        <v>0</v>
      </c>
      <c r="P915" s="95"/>
      <c r="R915" s="89"/>
      <c r="T915" s="11" t="str">
        <f t="shared" si="189"/>
        <v>G</v>
      </c>
    </row>
    <row r="916" spans="1:20" x14ac:dyDescent="0.25">
      <c r="B916" s="90"/>
      <c r="C916" s="102" t="str">
        <f t="shared" si="186"/>
        <v>FI-JR-68-F-CM</v>
      </c>
      <c r="D916" s="91" t="s">
        <v>1098</v>
      </c>
      <c r="E916" s="103" t="s">
        <v>353</v>
      </c>
      <c r="F916" s="93"/>
      <c r="G916" s="116">
        <v>0</v>
      </c>
      <c r="H916" s="105" t="str">
        <f t="shared" si="187"/>
        <v>FI-JR-68-F-NA</v>
      </c>
      <c r="I916" s="91" t="s">
        <v>1106</v>
      </c>
      <c r="J916" s="92" t="s">
        <v>463</v>
      </c>
      <c r="K916" s="116">
        <v>0</v>
      </c>
      <c r="L916" s="105" t="str">
        <f t="shared" si="188"/>
        <v>FI-JR-68-F-YE</v>
      </c>
      <c r="M916" s="91" t="s">
        <v>1115</v>
      </c>
      <c r="N916" s="92" t="s">
        <v>553</v>
      </c>
      <c r="O916" s="99">
        <v>0</v>
      </c>
      <c r="P916" s="95"/>
      <c r="R916" s="89"/>
      <c r="T916" s="11" t="str">
        <f t="shared" si="189"/>
        <v>G</v>
      </c>
    </row>
    <row r="917" spans="1:20" ht="38.25" x14ac:dyDescent="0.25">
      <c r="B917" s="90"/>
      <c r="C917" s="102" t="str">
        <f t="shared" si="186"/>
        <v>FI-JR-68-F-CD</v>
      </c>
      <c r="D917" s="91" t="s">
        <v>1099</v>
      </c>
      <c r="E917" s="103" t="s">
        <v>366</v>
      </c>
      <c r="F917" s="93"/>
      <c r="G917" s="116">
        <v>0</v>
      </c>
      <c r="H917" s="105" t="str">
        <f t="shared" si="187"/>
        <v>FI-JR-68-F-NP</v>
      </c>
      <c r="I917" s="91" t="s">
        <v>1318</v>
      </c>
      <c r="J917" s="92" t="s">
        <v>465</v>
      </c>
      <c r="K917" s="116">
        <v>0</v>
      </c>
      <c r="L917" s="95"/>
      <c r="M917" s="95"/>
      <c r="N917" s="95"/>
      <c r="O917" s="95"/>
      <c r="P917" s="95"/>
      <c r="R917" s="89"/>
      <c r="T917" s="11" t="str">
        <f t="shared" ref="T917:T922" si="190">IF(OR(AND(OR(ISBLANK(G917),ISBLANK(K917)),$R$907&gt;0),AND($R$907&lt;=0,OR(OR(G917&lt;&gt;0,K917&lt;&gt;0)))),"R","G")</f>
        <v>G</v>
      </c>
    </row>
    <row r="918" spans="1:20" x14ac:dyDescent="0.25">
      <c r="B918" s="90"/>
      <c r="C918" s="102" t="str">
        <f t="shared" si="186"/>
        <v>FI-JR-68-F-CI</v>
      </c>
      <c r="D918" s="91" t="s">
        <v>1091</v>
      </c>
      <c r="E918" s="103" t="s">
        <v>369</v>
      </c>
      <c r="F918" s="93"/>
      <c r="G918" s="116">
        <v>0</v>
      </c>
      <c r="H918" s="105" t="str">
        <f t="shared" si="187"/>
        <v>FI-JR-68-F-NG</v>
      </c>
      <c r="I918" s="91" t="s">
        <v>1107</v>
      </c>
      <c r="J918" s="92" t="s">
        <v>472</v>
      </c>
      <c r="K918" s="116">
        <v>0</v>
      </c>
      <c r="L918" s="95"/>
      <c r="M918" s="95"/>
      <c r="N918" s="95"/>
      <c r="O918" s="95"/>
      <c r="P918" s="95"/>
      <c r="R918" s="89"/>
      <c r="T918" s="11" t="str">
        <f t="shared" si="190"/>
        <v>G</v>
      </c>
    </row>
    <row r="919" spans="1:20" x14ac:dyDescent="0.25">
      <c r="B919" s="90"/>
      <c r="C919" s="102" t="str">
        <f t="shared" si="186"/>
        <v>FI-JR-68-F-HT</v>
      </c>
      <c r="D919" s="91" t="s">
        <v>1100</v>
      </c>
      <c r="E919" s="103" t="s">
        <v>408</v>
      </c>
      <c r="F919" s="93"/>
      <c r="G919" s="116">
        <v>0</v>
      </c>
      <c r="H919" s="105" t="str">
        <f t="shared" si="187"/>
        <v>FI-JR-68-F-RU</v>
      </c>
      <c r="I919" s="91" t="s">
        <v>1321</v>
      </c>
      <c r="J919" s="92" t="s">
        <v>1320</v>
      </c>
      <c r="K919" s="116">
        <v>0</v>
      </c>
      <c r="L919" s="95"/>
      <c r="M919" s="95"/>
      <c r="N919" s="95"/>
      <c r="O919" s="95"/>
      <c r="P919" s="95"/>
      <c r="R919" s="89"/>
      <c r="T919" s="11" t="str">
        <f t="shared" si="190"/>
        <v>G</v>
      </c>
    </row>
    <row r="920" spans="1:20" ht="25.5" x14ac:dyDescent="0.25">
      <c r="B920" s="90"/>
      <c r="C920" s="102" t="str">
        <f t="shared" si="186"/>
        <v>FI-JR-68-F-IR</v>
      </c>
      <c r="D920" s="91" t="s">
        <v>912</v>
      </c>
      <c r="E920" s="103" t="s">
        <v>417</v>
      </c>
      <c r="F920" s="93"/>
      <c r="G920" s="116">
        <v>0</v>
      </c>
      <c r="H920" s="105" t="str">
        <f t="shared" si="187"/>
        <v>FI-JR-68-F-ZA</v>
      </c>
      <c r="I920" s="91" t="s">
        <v>1108</v>
      </c>
      <c r="J920" s="92" t="s">
        <v>513</v>
      </c>
      <c r="K920" s="116">
        <v>0</v>
      </c>
      <c r="L920" s="95"/>
      <c r="M920" s="95"/>
      <c r="N920" s="95"/>
      <c r="O920" s="95"/>
      <c r="P920" s="95"/>
      <c r="R920" s="89"/>
      <c r="T920" s="11" t="str">
        <f t="shared" si="190"/>
        <v>G</v>
      </c>
    </row>
    <row r="921" spans="1:20" x14ac:dyDescent="0.25">
      <c r="B921" s="90"/>
      <c r="C921" s="102" t="str">
        <f t="shared" si="186"/>
        <v>FI-JR-68-F-KE</v>
      </c>
      <c r="D921" s="91" t="s">
        <v>1101</v>
      </c>
      <c r="E921" s="103" t="s">
        <v>426</v>
      </c>
      <c r="F921" s="93"/>
      <c r="G921" s="116">
        <v>0</v>
      </c>
      <c r="H921" s="105" t="str">
        <f t="shared" si="187"/>
        <v>FI-JR-68-F-SS</v>
      </c>
      <c r="I921" s="91" t="s">
        <v>1089</v>
      </c>
      <c r="J921" s="92" t="s">
        <v>1088</v>
      </c>
      <c r="K921" s="99">
        <v>0</v>
      </c>
      <c r="L921" s="94"/>
      <c r="M921" s="95"/>
      <c r="N921" s="95"/>
      <c r="O921" s="95"/>
      <c r="P921" s="95"/>
      <c r="R921" s="89"/>
      <c r="T921" s="11" t="str">
        <f t="shared" si="190"/>
        <v>G</v>
      </c>
    </row>
    <row r="922" spans="1:20" ht="25.5" x14ac:dyDescent="0.25">
      <c r="B922" s="90"/>
      <c r="C922" s="102" t="str">
        <f t="shared" si="186"/>
        <v>FI-JR-68-F-KP</v>
      </c>
      <c r="D922" s="91" t="s">
        <v>1090</v>
      </c>
      <c r="E922" s="103" t="s">
        <v>428</v>
      </c>
      <c r="F922" s="96"/>
      <c r="G922" s="116">
        <v>0</v>
      </c>
      <c r="H922" s="105" t="str">
        <f t="shared" si="187"/>
        <v>FI-JR-68-F-SY</v>
      </c>
      <c r="I922" s="91" t="s">
        <v>1109</v>
      </c>
      <c r="J922" s="92" t="s">
        <v>523</v>
      </c>
      <c r="K922" s="99">
        <v>0</v>
      </c>
      <c r="L922" s="94"/>
      <c r="M922" s="95"/>
      <c r="N922" s="95"/>
      <c r="O922" s="95"/>
      <c r="P922" s="95"/>
      <c r="R922" s="89"/>
      <c r="T922" s="11" t="str">
        <f t="shared" si="190"/>
        <v>G</v>
      </c>
    </row>
    <row r="923" spans="1:20" x14ac:dyDescent="0.25">
      <c r="E923" s="52"/>
      <c r="F923" s="52"/>
      <c r="G923" s="52"/>
      <c r="H923" s="52"/>
      <c r="I923" s="52"/>
      <c r="J923" s="52"/>
      <c r="K923" s="52"/>
      <c r="L923" s="52"/>
      <c r="M923" s="52"/>
      <c r="N923" s="52"/>
      <c r="O923" s="52"/>
      <c r="P923" s="52"/>
    </row>
    <row r="924" spans="1:20" ht="6.75" customHeight="1" x14ac:dyDescent="0.25">
      <c r="B924" s="71"/>
      <c r="C924" s="71"/>
      <c r="D924" s="15"/>
      <c r="E924" s="15"/>
      <c r="F924" s="15"/>
      <c r="G924" s="15"/>
      <c r="H924" s="15"/>
      <c r="I924" s="15"/>
      <c r="J924" s="15"/>
      <c r="K924" s="15"/>
      <c r="L924" s="15"/>
      <c r="M924" s="15"/>
      <c r="N924" s="15"/>
      <c r="O924" s="15"/>
      <c r="P924" s="15"/>
      <c r="R924" s="74"/>
    </row>
    <row r="925" spans="1:20" ht="7.15" customHeight="1" x14ac:dyDescent="0.25">
      <c r="A925" s="75"/>
      <c r="B925" s="76"/>
      <c r="C925" s="76"/>
      <c r="D925" s="77"/>
      <c r="E925" s="77"/>
      <c r="F925" s="77"/>
      <c r="G925" s="77"/>
      <c r="H925" s="77"/>
      <c r="I925" s="77"/>
      <c r="J925" s="77"/>
      <c r="K925" s="77"/>
      <c r="L925" s="77"/>
      <c r="M925" s="77"/>
      <c r="N925" s="77"/>
      <c r="O925" s="77"/>
      <c r="P925" s="77"/>
      <c r="Q925" s="75"/>
      <c r="R925" s="78"/>
      <c r="S925" s="75"/>
      <c r="T925" s="12"/>
    </row>
    <row r="926" spans="1:20" ht="7.35" customHeight="1" x14ac:dyDescent="0.25">
      <c r="B926" s="71"/>
      <c r="C926" s="71"/>
      <c r="D926" s="15"/>
      <c r="E926" s="15"/>
      <c r="F926" s="15"/>
      <c r="G926" s="15"/>
      <c r="H926" s="15"/>
      <c r="I926" s="15"/>
      <c r="J926" s="15"/>
      <c r="K926" s="15"/>
      <c r="L926" s="15"/>
      <c r="M926" s="15"/>
      <c r="N926" s="15"/>
      <c r="O926" s="15"/>
      <c r="P926" s="15"/>
      <c r="R926" s="74"/>
    </row>
    <row r="927" spans="1:20" ht="18.75" x14ac:dyDescent="0.25">
      <c r="B927" s="182" t="s">
        <v>203</v>
      </c>
      <c r="C927" s="62"/>
      <c r="D927" s="63" t="s">
        <v>1199</v>
      </c>
      <c r="E927" s="63"/>
      <c r="F927" s="63"/>
      <c r="G927" s="63"/>
      <c r="H927" s="63"/>
      <c r="I927" s="63"/>
      <c r="J927" s="63"/>
      <c r="K927" s="63"/>
      <c r="L927" s="63"/>
      <c r="M927" s="63"/>
      <c r="N927" s="63"/>
      <c r="O927" s="63"/>
      <c r="P927" s="63"/>
      <c r="Q927" s="63"/>
      <c r="R927" s="63"/>
    </row>
    <row r="928" spans="1:20" ht="19.5" thickBot="1" x14ac:dyDescent="0.3">
      <c r="A928" s="37"/>
      <c r="B928" s="183"/>
      <c r="C928" s="38"/>
      <c r="D928" s="79" t="s">
        <v>1196</v>
      </c>
      <c r="E928" s="39"/>
      <c r="F928" s="39"/>
      <c r="G928" s="39"/>
      <c r="H928" s="39"/>
      <c r="I928" s="39"/>
      <c r="J928" s="39"/>
      <c r="K928" s="39"/>
      <c r="L928" s="39"/>
      <c r="M928" s="39"/>
      <c r="N928" s="39"/>
      <c r="O928" s="39"/>
      <c r="P928" s="39"/>
      <c r="Q928" s="39"/>
      <c r="R928" s="39"/>
      <c r="S928" s="37"/>
    </row>
    <row r="929" spans="2:20" x14ac:dyDescent="0.25">
      <c r="E929" s="52"/>
      <c r="F929" s="52"/>
      <c r="G929" s="52"/>
      <c r="H929" s="52"/>
      <c r="I929" s="52"/>
      <c r="J929" s="52"/>
      <c r="K929" s="52"/>
      <c r="L929" s="52"/>
      <c r="M929" s="52"/>
      <c r="N929" s="52"/>
      <c r="O929" s="52"/>
      <c r="P929" s="52"/>
    </row>
    <row r="930" spans="2:20" ht="37.5" customHeight="1" x14ac:dyDescent="0.25">
      <c r="B930" s="15" t="s">
        <v>1184</v>
      </c>
      <c r="D930" s="186" t="s">
        <v>1207</v>
      </c>
      <c r="E930" s="186"/>
      <c r="F930" s="186"/>
      <c r="G930" s="186"/>
      <c r="H930" s="186"/>
      <c r="I930" s="186"/>
      <c r="J930" s="186"/>
      <c r="K930" s="186"/>
      <c r="L930" s="186"/>
      <c r="M930" s="186"/>
      <c r="N930" s="186"/>
      <c r="O930" s="186"/>
      <c r="P930" s="52"/>
      <c r="R930" s="10"/>
    </row>
    <row r="931" spans="2:20" ht="52.5" customHeight="1" x14ac:dyDescent="0.25">
      <c r="D931" s="190" t="s">
        <v>1349</v>
      </c>
      <c r="E931" s="190"/>
      <c r="F931" s="190"/>
      <c r="G931" s="190"/>
      <c r="H931" s="190"/>
      <c r="I931" s="190"/>
      <c r="J931" s="190"/>
      <c r="K931" s="190"/>
      <c r="L931" s="190"/>
      <c r="M931" s="190"/>
      <c r="N931" s="190"/>
      <c r="O931" s="190"/>
      <c r="P931" s="190"/>
      <c r="R931" s="101"/>
    </row>
    <row r="932" spans="2:20" ht="15" customHeight="1" x14ac:dyDescent="0.25">
      <c r="B932" s="46" t="str">
        <f>B930&amp;"-M"</f>
        <v>FI-JR-62-M</v>
      </c>
      <c r="C932" s="46"/>
      <c r="D932" s="84"/>
      <c r="E932" s="189" t="s">
        <v>448</v>
      </c>
      <c r="F932" s="189"/>
      <c r="G932" s="189"/>
      <c r="H932" s="189"/>
      <c r="I932" s="189"/>
      <c r="J932" s="189"/>
      <c r="K932" s="189"/>
      <c r="L932" s="189"/>
      <c r="M932" s="189"/>
      <c r="N932" s="189"/>
      <c r="O932" s="189"/>
      <c r="P932" s="52"/>
      <c r="R932" s="67"/>
      <c r="T932" s="11" t="str">
        <f>IF(OR(AND(ISBLANK(R932),CR.78&gt;0),AND(CR.78&lt;=0,NOT(ISBLANK(R932)))),"R","G")</f>
        <v>G</v>
      </c>
    </row>
    <row r="933" spans="2:20" ht="15" customHeight="1" x14ac:dyDescent="0.25">
      <c r="B933" s="46" t="str">
        <f>B930&amp;"-E"</f>
        <v>FI-JR-62-E</v>
      </c>
      <c r="C933" s="46"/>
      <c r="D933" s="84"/>
      <c r="E933" s="189" t="s">
        <v>1084</v>
      </c>
      <c r="F933" s="189"/>
      <c r="G933" s="189"/>
      <c r="H933" s="189"/>
      <c r="I933" s="189"/>
      <c r="J933" s="189"/>
      <c r="K933" s="189"/>
      <c r="L933" s="189"/>
      <c r="M933" s="189"/>
      <c r="N933" s="189"/>
      <c r="O933" s="189"/>
      <c r="P933" s="52"/>
      <c r="R933" s="67"/>
      <c r="T933" s="11" t="str">
        <f>IF(OR(AND(ISBLANK(R933),CR.78&gt;0),AND(CR.78&lt;=0,NOT(ISBLANK(R933)))),"R","G")</f>
        <v>G</v>
      </c>
    </row>
    <row r="934" spans="2:20" ht="15" customHeight="1" x14ac:dyDescent="0.25">
      <c r="B934" s="46" t="str">
        <f>B930&amp;"-N"</f>
        <v>FI-JR-62-N</v>
      </c>
      <c r="C934" s="46"/>
      <c r="D934" s="84"/>
      <c r="E934" s="189" t="s">
        <v>1085</v>
      </c>
      <c r="F934" s="189"/>
      <c r="G934" s="189"/>
      <c r="H934" s="189"/>
      <c r="I934" s="189"/>
      <c r="J934" s="189"/>
      <c r="K934" s="189"/>
      <c r="L934" s="189"/>
      <c r="M934" s="189"/>
      <c r="N934" s="189"/>
      <c r="O934" s="189"/>
      <c r="P934" s="52"/>
      <c r="R934" s="67"/>
      <c r="T934" s="11" t="str">
        <f>IF(OR(AND(ISBLANK(R934),CR.78&gt;0),AND(CR.78&lt;=0,NOT(ISBLANK(R934)))),"R","G")</f>
        <v>G</v>
      </c>
    </row>
    <row r="935" spans="2:20" ht="27" customHeight="1" x14ac:dyDescent="0.25">
      <c r="B935" s="46" t="str">
        <f>B930&amp;"-F"</f>
        <v>FI-JR-62-F</v>
      </c>
      <c r="C935" s="46"/>
      <c r="D935" s="84"/>
      <c r="E935" s="191" t="s">
        <v>1086</v>
      </c>
      <c r="F935" s="191"/>
      <c r="G935" s="191"/>
      <c r="H935" s="191"/>
      <c r="I935" s="191"/>
      <c r="J935" s="191"/>
      <c r="K935" s="191"/>
      <c r="L935" s="191"/>
      <c r="M935" s="191"/>
      <c r="N935" s="191"/>
      <c r="O935" s="191"/>
      <c r="P935" s="86"/>
      <c r="R935" s="67"/>
      <c r="T935" s="11" t="str">
        <f>IF(OR(AND(ISBLANK(R935),CR.78&gt;0),AND(CR.78&lt;=0,NOT(ISBLANK(R935)))),"R","G")</f>
        <v>G</v>
      </c>
    </row>
    <row r="936" spans="2:20" ht="9.75" customHeight="1" x14ac:dyDescent="0.25">
      <c r="B936" s="10"/>
      <c r="C936" s="10"/>
      <c r="D936" s="10"/>
      <c r="E936" s="10"/>
      <c r="F936" s="10"/>
      <c r="G936" s="10"/>
      <c r="H936" s="10"/>
      <c r="I936" s="10"/>
      <c r="J936" s="10"/>
      <c r="K936" s="10"/>
      <c r="L936" s="10"/>
      <c r="M936" s="10"/>
      <c r="N936" s="10"/>
      <c r="O936" s="10"/>
      <c r="P936" s="10"/>
      <c r="R936" s="10"/>
    </row>
    <row r="937" spans="2:20" ht="15" customHeight="1" x14ac:dyDescent="0.25">
      <c r="B937" s="87"/>
      <c r="C937" s="87"/>
      <c r="D937" s="192" t="str">
        <f>IF(R935=0,"",IF(SUM(G938:G950,K938:K950,O938:O944)=R935,"","The totals included next to each jurisdiction do not add up to "&amp;R935&amp;", please revise the figures."))</f>
        <v/>
      </c>
      <c r="E937" s="192"/>
      <c r="F937" s="192"/>
      <c r="G937" s="192"/>
      <c r="H937" s="192"/>
      <c r="I937" s="192"/>
      <c r="J937" s="192"/>
      <c r="K937" s="192"/>
      <c r="L937" s="192"/>
      <c r="M937" s="192"/>
      <c r="N937" s="192"/>
      <c r="O937" s="192"/>
      <c r="P937" s="88"/>
      <c r="R937" s="89"/>
      <c r="T937" s="11" t="str">
        <f>IF(D937="","G","R")</f>
        <v>G</v>
      </c>
    </row>
    <row r="938" spans="2:20" ht="25.5" x14ac:dyDescent="0.25">
      <c r="B938" s="90"/>
      <c r="C938" s="102" t="str">
        <f>$B$935&amp;"-"&amp;D938</f>
        <v>FI-JR-62-F-AF</v>
      </c>
      <c r="D938" s="91" t="s">
        <v>1093</v>
      </c>
      <c r="E938" s="103" t="s">
        <v>317</v>
      </c>
      <c r="F938" s="93"/>
      <c r="G938" s="116">
        <v>0</v>
      </c>
      <c r="H938" s="105" t="str">
        <f>$B$935&amp;"-"&amp;I938</f>
        <v>FI-JR-62-F-LA</v>
      </c>
      <c r="I938" s="91" t="s">
        <v>1317</v>
      </c>
      <c r="J938" s="92" t="s">
        <v>1312</v>
      </c>
      <c r="K938" s="116">
        <v>0</v>
      </c>
      <c r="L938" s="105" t="str">
        <f>$B$935&amp;"-"&amp;M938</f>
        <v>FI-JR-62-F-TZ</v>
      </c>
      <c r="M938" s="91" t="s">
        <v>1110</v>
      </c>
      <c r="N938" s="92" t="s">
        <v>526</v>
      </c>
      <c r="O938" s="99">
        <v>0</v>
      </c>
      <c r="P938" s="95"/>
      <c r="R938" s="89"/>
      <c r="T938" s="11" t="str">
        <f>IF(OR(AND(OR(ISBLANK(G938),ISBLANK(K938),ISBLANK(O938)),$R$935&gt;0),AND($R$935&lt;=0,OR(OR(G938&lt;&gt;0,K938&lt;&gt;0,O938&lt;&gt;0)))),"R","G")</f>
        <v>G</v>
      </c>
    </row>
    <row r="939" spans="2:20" x14ac:dyDescent="0.25">
      <c r="B939" s="90"/>
      <c r="C939" s="102" t="str">
        <f t="shared" ref="C939:C950" si="191">$B$935&amp;"-"&amp;D939</f>
        <v>FI-JR-62-F-DZ</v>
      </c>
      <c r="D939" s="91" t="s">
        <v>1094</v>
      </c>
      <c r="E939" s="103" t="s">
        <v>319</v>
      </c>
      <c r="F939" s="93"/>
      <c r="G939" s="116">
        <v>0</v>
      </c>
      <c r="H939" s="105" t="str">
        <f t="shared" ref="H939:H950" si="192">$B$935&amp;"-"&amp;I939</f>
        <v>FI-JR-62-F-LB</v>
      </c>
      <c r="I939" s="91" t="s">
        <v>1102</v>
      </c>
      <c r="J939" s="92" t="s">
        <v>434</v>
      </c>
      <c r="K939" s="116">
        <v>0</v>
      </c>
      <c r="L939" s="105" t="str">
        <f t="shared" ref="L939:L944" si="193">$B$935&amp;"-"&amp;M939</f>
        <v>FI-JR-62-F-TT</v>
      </c>
      <c r="M939" s="91" t="s">
        <v>1111</v>
      </c>
      <c r="N939" s="92" t="s">
        <v>532</v>
      </c>
      <c r="O939" s="99">
        <v>0</v>
      </c>
      <c r="P939" s="95"/>
      <c r="R939" s="89"/>
      <c r="T939" s="11" t="str">
        <f t="shared" ref="T939:T944" si="194">IF(OR(AND(OR(ISBLANK(G939),ISBLANK(K939),ISBLANK(O939)),$R$935&gt;0),AND($R$935&lt;=0,OR(OR(G939&lt;&gt;0,K939&lt;&gt;0,O939&lt;&gt;0)))),"R","G")</f>
        <v>G</v>
      </c>
    </row>
    <row r="940" spans="2:20" x14ac:dyDescent="0.25">
      <c r="B940" s="90"/>
      <c r="C940" s="102" t="str">
        <f t="shared" si="191"/>
        <v>FI-JR-62-F-AO</v>
      </c>
      <c r="D940" s="91" t="s">
        <v>1095</v>
      </c>
      <c r="E940" s="103" t="s">
        <v>322</v>
      </c>
      <c r="F940" s="93"/>
      <c r="G940" s="116">
        <v>0</v>
      </c>
      <c r="H940" s="105" t="str">
        <f t="shared" si="192"/>
        <v>FI-JR-62-F-ML</v>
      </c>
      <c r="I940" s="91" t="s">
        <v>1103</v>
      </c>
      <c r="J940" s="92" t="s">
        <v>447</v>
      </c>
      <c r="K940" s="116">
        <v>0</v>
      </c>
      <c r="L940" s="105" t="str">
        <f t="shared" si="193"/>
        <v>FI-JR-62-F-VU</v>
      </c>
      <c r="M940" s="91" t="s">
        <v>1112</v>
      </c>
      <c r="N940" s="92" t="s">
        <v>546</v>
      </c>
      <c r="O940" s="99">
        <v>0</v>
      </c>
      <c r="P940" s="95"/>
      <c r="R940" s="89"/>
      <c r="T940" s="11" t="str">
        <f t="shared" si="194"/>
        <v>G</v>
      </c>
    </row>
    <row r="941" spans="2:20" x14ac:dyDescent="0.25">
      <c r="B941" s="90"/>
      <c r="C941" s="102" t="str">
        <f t="shared" si="191"/>
        <v>FI-JR-62-F-BO</v>
      </c>
      <c r="D941" s="91" t="s">
        <v>1316</v>
      </c>
      <c r="E941" s="103" t="s">
        <v>342</v>
      </c>
      <c r="F941" s="93"/>
      <c r="G941" s="116">
        <v>0</v>
      </c>
      <c r="H941" s="105" t="str">
        <f t="shared" si="192"/>
        <v>FI-JR-62-F-MN</v>
      </c>
      <c r="I941" s="91" t="s">
        <v>1315</v>
      </c>
      <c r="J941" s="92" t="s">
        <v>457</v>
      </c>
      <c r="K941" s="116">
        <v>0</v>
      </c>
      <c r="L941" s="105" t="str">
        <f t="shared" si="193"/>
        <v>FI-JR-62-F-VE</v>
      </c>
      <c r="M941" s="91" t="s">
        <v>1113</v>
      </c>
      <c r="N941" s="92" t="s">
        <v>547</v>
      </c>
      <c r="O941" s="99">
        <v>0</v>
      </c>
      <c r="P941" s="95"/>
      <c r="R941" s="89"/>
      <c r="T941" s="11" t="str">
        <f t="shared" si="194"/>
        <v>G</v>
      </c>
    </row>
    <row r="942" spans="2:20" x14ac:dyDescent="0.25">
      <c r="B942" s="90"/>
      <c r="C942" s="102" t="str">
        <f t="shared" si="191"/>
        <v>FI-JR-62-F-BG</v>
      </c>
      <c r="D942" s="91" t="s">
        <v>1096</v>
      </c>
      <c r="E942" s="103" t="s">
        <v>349</v>
      </c>
      <c r="F942" s="93"/>
      <c r="G942" s="116">
        <v>0</v>
      </c>
      <c r="H942" s="105" t="str">
        <f t="shared" si="192"/>
        <v>FI-JR-62-F-MZ</v>
      </c>
      <c r="I942" s="91" t="s">
        <v>1104</v>
      </c>
      <c r="J942" s="92" t="s">
        <v>461</v>
      </c>
      <c r="K942" s="116">
        <v>0</v>
      </c>
      <c r="L942" s="105" t="str">
        <f t="shared" si="193"/>
        <v>FI-JR-62-F-VN</v>
      </c>
      <c r="M942" s="91" t="s">
        <v>1114</v>
      </c>
      <c r="N942" s="92" t="s">
        <v>1313</v>
      </c>
      <c r="O942" s="99">
        <v>0</v>
      </c>
      <c r="P942" s="95"/>
      <c r="R942" s="89"/>
      <c r="T942" s="11" t="str">
        <f t="shared" si="194"/>
        <v>G</v>
      </c>
    </row>
    <row r="943" spans="2:20" x14ac:dyDescent="0.25">
      <c r="B943" s="90"/>
      <c r="C943" s="102" t="str">
        <f t="shared" si="191"/>
        <v>FI-JR-62-F-BF</v>
      </c>
      <c r="D943" s="91" t="s">
        <v>1097</v>
      </c>
      <c r="E943" s="103" t="s">
        <v>350</v>
      </c>
      <c r="F943" s="93"/>
      <c r="G943" s="116">
        <v>0</v>
      </c>
      <c r="H943" s="105" t="str">
        <f t="shared" si="192"/>
        <v>FI-JR-62-F-MM</v>
      </c>
      <c r="I943" s="91" t="s">
        <v>1105</v>
      </c>
      <c r="J943" s="92" t="s">
        <v>462</v>
      </c>
      <c r="K943" s="116">
        <v>0</v>
      </c>
      <c r="L943" s="105" t="str">
        <f t="shared" si="193"/>
        <v>FI-JR-62-F-VI</v>
      </c>
      <c r="M943" s="91" t="s">
        <v>1319</v>
      </c>
      <c r="N943" s="92" t="s">
        <v>1314</v>
      </c>
      <c r="O943" s="99">
        <v>0</v>
      </c>
      <c r="P943" s="95"/>
      <c r="R943" s="89"/>
      <c r="T943" s="11" t="str">
        <f t="shared" si="194"/>
        <v>G</v>
      </c>
    </row>
    <row r="944" spans="2:20" x14ac:dyDescent="0.25">
      <c r="B944" s="90"/>
      <c r="C944" s="102" t="str">
        <f t="shared" si="191"/>
        <v>FI-JR-62-F-CM</v>
      </c>
      <c r="D944" s="91" t="s">
        <v>1098</v>
      </c>
      <c r="E944" s="103" t="s">
        <v>353</v>
      </c>
      <c r="F944" s="93"/>
      <c r="G944" s="116">
        <v>0</v>
      </c>
      <c r="H944" s="105" t="str">
        <f t="shared" si="192"/>
        <v>FI-JR-62-F-NA</v>
      </c>
      <c r="I944" s="91" t="s">
        <v>1106</v>
      </c>
      <c r="J944" s="92" t="s">
        <v>463</v>
      </c>
      <c r="K944" s="116">
        <v>0</v>
      </c>
      <c r="L944" s="105" t="str">
        <f t="shared" si="193"/>
        <v>FI-JR-62-F-YE</v>
      </c>
      <c r="M944" s="91" t="s">
        <v>1115</v>
      </c>
      <c r="N944" s="92" t="s">
        <v>553</v>
      </c>
      <c r="O944" s="99">
        <v>0</v>
      </c>
      <c r="P944" s="95"/>
      <c r="R944" s="89"/>
      <c r="T944" s="11" t="str">
        <f t="shared" si="194"/>
        <v>G</v>
      </c>
    </row>
    <row r="945" spans="1:20" ht="38.25" x14ac:dyDescent="0.25">
      <c r="B945" s="90"/>
      <c r="C945" s="102" t="str">
        <f t="shared" si="191"/>
        <v>FI-JR-62-F-CD</v>
      </c>
      <c r="D945" s="91" t="s">
        <v>1099</v>
      </c>
      <c r="E945" s="103" t="s">
        <v>366</v>
      </c>
      <c r="F945" s="93"/>
      <c r="G945" s="116">
        <v>0</v>
      </c>
      <c r="H945" s="105" t="str">
        <f t="shared" si="192"/>
        <v>FI-JR-62-F-NP</v>
      </c>
      <c r="I945" s="91" t="s">
        <v>1318</v>
      </c>
      <c r="J945" s="92" t="s">
        <v>465</v>
      </c>
      <c r="K945" s="116">
        <v>0</v>
      </c>
      <c r="L945" s="95"/>
      <c r="M945" s="95"/>
      <c r="N945" s="95"/>
      <c r="O945" s="95"/>
      <c r="P945" s="95"/>
      <c r="R945" s="89"/>
      <c r="T945" s="11" t="str">
        <f t="shared" ref="T945:T950" si="195">IF(OR(AND(OR(ISBLANK(G945),ISBLANK(K945)),$R$935&gt;0),AND($R$935&lt;=0,OR(OR(G945&lt;&gt;0,K945&lt;&gt;0)))),"R","G")</f>
        <v>G</v>
      </c>
    </row>
    <row r="946" spans="1:20" x14ac:dyDescent="0.25">
      <c r="B946" s="90"/>
      <c r="C946" s="102" t="str">
        <f t="shared" si="191"/>
        <v>FI-JR-62-F-CI</v>
      </c>
      <c r="D946" s="91" t="s">
        <v>1091</v>
      </c>
      <c r="E946" s="103" t="s">
        <v>369</v>
      </c>
      <c r="F946" s="93"/>
      <c r="G946" s="116">
        <v>0</v>
      </c>
      <c r="H946" s="105" t="str">
        <f t="shared" si="192"/>
        <v>FI-JR-62-F-NG</v>
      </c>
      <c r="I946" s="91" t="s">
        <v>1107</v>
      </c>
      <c r="J946" s="92" t="s">
        <v>472</v>
      </c>
      <c r="K946" s="116">
        <v>0</v>
      </c>
      <c r="L946" s="95"/>
      <c r="M946" s="95"/>
      <c r="N946" s="95"/>
      <c r="O946" s="95"/>
      <c r="P946" s="95"/>
      <c r="R946" s="89"/>
      <c r="T946" s="11" t="str">
        <f t="shared" si="195"/>
        <v>G</v>
      </c>
    </row>
    <row r="947" spans="1:20" x14ac:dyDescent="0.25">
      <c r="B947" s="90"/>
      <c r="C947" s="102" t="str">
        <f t="shared" si="191"/>
        <v>FI-JR-62-F-HT</v>
      </c>
      <c r="D947" s="91" t="s">
        <v>1100</v>
      </c>
      <c r="E947" s="103" t="s">
        <v>408</v>
      </c>
      <c r="F947" s="93"/>
      <c r="G947" s="116">
        <v>0</v>
      </c>
      <c r="H947" s="105" t="str">
        <f t="shared" si="192"/>
        <v>FI-JR-62-F-RU</v>
      </c>
      <c r="I947" s="91" t="s">
        <v>1321</v>
      </c>
      <c r="J947" s="92" t="s">
        <v>1320</v>
      </c>
      <c r="K947" s="116">
        <v>0</v>
      </c>
      <c r="L947" s="95"/>
      <c r="M947" s="95"/>
      <c r="N947" s="95"/>
      <c r="O947" s="95"/>
      <c r="P947" s="95"/>
      <c r="R947" s="89"/>
      <c r="T947" s="11" t="str">
        <f t="shared" si="195"/>
        <v>G</v>
      </c>
    </row>
    <row r="948" spans="1:20" ht="25.5" x14ac:dyDescent="0.25">
      <c r="B948" s="90"/>
      <c r="C948" s="102" t="str">
        <f t="shared" si="191"/>
        <v>FI-JR-62-F-IR</v>
      </c>
      <c r="D948" s="91" t="s">
        <v>912</v>
      </c>
      <c r="E948" s="103" t="s">
        <v>417</v>
      </c>
      <c r="F948" s="93"/>
      <c r="G948" s="116">
        <v>0</v>
      </c>
      <c r="H948" s="105" t="str">
        <f t="shared" si="192"/>
        <v>FI-JR-62-F-ZA</v>
      </c>
      <c r="I948" s="91" t="s">
        <v>1108</v>
      </c>
      <c r="J948" s="92" t="s">
        <v>513</v>
      </c>
      <c r="K948" s="116">
        <v>0</v>
      </c>
      <c r="L948" s="95"/>
      <c r="M948" s="95"/>
      <c r="N948" s="95"/>
      <c r="O948" s="95"/>
      <c r="P948" s="95"/>
      <c r="R948" s="89"/>
      <c r="T948" s="11" t="str">
        <f t="shared" si="195"/>
        <v>G</v>
      </c>
    </row>
    <row r="949" spans="1:20" x14ac:dyDescent="0.25">
      <c r="B949" s="90"/>
      <c r="C949" s="102" t="str">
        <f t="shared" si="191"/>
        <v>FI-JR-62-F-KE</v>
      </c>
      <c r="D949" s="91" t="s">
        <v>1101</v>
      </c>
      <c r="E949" s="103" t="s">
        <v>426</v>
      </c>
      <c r="F949" s="93"/>
      <c r="G949" s="116">
        <v>0</v>
      </c>
      <c r="H949" s="105" t="str">
        <f t="shared" si="192"/>
        <v>FI-JR-62-F-SS</v>
      </c>
      <c r="I949" s="91" t="s">
        <v>1089</v>
      </c>
      <c r="J949" s="92" t="s">
        <v>1088</v>
      </c>
      <c r="K949" s="99">
        <v>0</v>
      </c>
      <c r="L949" s="94"/>
      <c r="M949" s="95"/>
      <c r="N949" s="95"/>
      <c r="O949" s="95"/>
      <c r="P949" s="95"/>
      <c r="R949" s="89"/>
      <c r="T949" s="11" t="str">
        <f t="shared" si="195"/>
        <v>G</v>
      </c>
    </row>
    <row r="950" spans="1:20" ht="25.5" x14ac:dyDescent="0.25">
      <c r="B950" s="90"/>
      <c r="C950" s="102" t="str">
        <f t="shared" si="191"/>
        <v>FI-JR-62-F-KP</v>
      </c>
      <c r="D950" s="91" t="s">
        <v>1090</v>
      </c>
      <c r="E950" s="103" t="s">
        <v>428</v>
      </c>
      <c r="F950" s="96"/>
      <c r="G950" s="116">
        <v>0</v>
      </c>
      <c r="H950" s="105" t="str">
        <f t="shared" si="192"/>
        <v>FI-JR-62-F-SY</v>
      </c>
      <c r="I950" s="91" t="s">
        <v>1109</v>
      </c>
      <c r="J950" s="92" t="s">
        <v>523</v>
      </c>
      <c r="K950" s="99">
        <v>0</v>
      </c>
      <c r="L950" s="94"/>
      <c r="M950" s="95"/>
      <c r="N950" s="95"/>
      <c r="O950" s="95"/>
      <c r="P950" s="95"/>
      <c r="R950" s="89"/>
      <c r="T950" s="11" t="str">
        <f t="shared" si="195"/>
        <v>G</v>
      </c>
    </row>
    <row r="951" spans="1:20" x14ac:dyDescent="0.25">
      <c r="A951" s="11"/>
      <c r="T951" s="11"/>
    </row>
    <row r="952" spans="1:20" ht="37.5" customHeight="1" x14ac:dyDescent="0.25">
      <c r="B952" s="15" t="s">
        <v>1185</v>
      </c>
      <c r="D952" s="186" t="s">
        <v>1208</v>
      </c>
      <c r="E952" s="186"/>
      <c r="F952" s="186"/>
      <c r="G952" s="186"/>
      <c r="H952" s="186"/>
      <c r="I952" s="186"/>
      <c r="J952" s="186"/>
      <c r="K952" s="186"/>
      <c r="L952" s="186"/>
      <c r="M952" s="186"/>
      <c r="N952" s="186"/>
      <c r="O952" s="186"/>
      <c r="P952" s="52"/>
      <c r="R952" s="10"/>
    </row>
    <row r="953" spans="1:20" ht="52.5" customHeight="1" x14ac:dyDescent="0.25">
      <c r="D953" s="190" t="s">
        <v>1349</v>
      </c>
      <c r="E953" s="190"/>
      <c r="F953" s="190"/>
      <c r="G953" s="190"/>
      <c r="H953" s="190"/>
      <c r="I953" s="190"/>
      <c r="J953" s="190"/>
      <c r="K953" s="190"/>
      <c r="L953" s="190"/>
      <c r="M953" s="190"/>
      <c r="N953" s="190"/>
      <c r="O953" s="190"/>
      <c r="P953" s="190"/>
      <c r="R953" s="101"/>
    </row>
    <row r="954" spans="1:20" ht="15" customHeight="1" x14ac:dyDescent="0.25">
      <c r="B954" s="46" t="str">
        <f>B952&amp;"-M"</f>
        <v>FI-JR-63-M</v>
      </c>
      <c r="C954" s="46"/>
      <c r="D954" s="84"/>
      <c r="E954" s="189" t="s">
        <v>448</v>
      </c>
      <c r="F954" s="189"/>
      <c r="G954" s="189"/>
      <c r="H954" s="189"/>
      <c r="I954" s="189"/>
      <c r="J954" s="189"/>
      <c r="K954" s="189"/>
      <c r="L954" s="189"/>
      <c r="M954" s="189"/>
      <c r="N954" s="189"/>
      <c r="O954" s="189"/>
      <c r="P954" s="52"/>
      <c r="R954" s="67"/>
      <c r="T954" s="11" t="str">
        <f>IF(OR(AND(ISBLANK(R954),CR.79&gt;0),AND(CR.79&lt;=0,NOT(ISBLANK(R954)))),"R","G")</f>
        <v>G</v>
      </c>
    </row>
    <row r="955" spans="1:20" ht="15" customHeight="1" x14ac:dyDescent="0.25">
      <c r="B955" s="46" t="str">
        <f>B952&amp;"-E"</f>
        <v>FI-JR-63-E</v>
      </c>
      <c r="C955" s="46"/>
      <c r="D955" s="84"/>
      <c r="E955" s="189" t="s">
        <v>1084</v>
      </c>
      <c r="F955" s="189"/>
      <c r="G955" s="189"/>
      <c r="H955" s="189"/>
      <c r="I955" s="189"/>
      <c r="J955" s="189"/>
      <c r="K955" s="189"/>
      <c r="L955" s="189"/>
      <c r="M955" s="189"/>
      <c r="N955" s="189"/>
      <c r="O955" s="189"/>
      <c r="P955" s="52"/>
      <c r="R955" s="67"/>
      <c r="T955" s="11" t="str">
        <f>IF(OR(AND(ISBLANK(R955),CR.79&gt;0),AND(CR.79&lt;=0,NOT(ISBLANK(R955)))),"R","G")</f>
        <v>G</v>
      </c>
    </row>
    <row r="956" spans="1:20" ht="15" customHeight="1" x14ac:dyDescent="0.25">
      <c r="B956" s="46" t="str">
        <f>B952&amp;"-N"</f>
        <v>FI-JR-63-N</v>
      </c>
      <c r="C956" s="46"/>
      <c r="D956" s="84"/>
      <c r="E956" s="189" t="s">
        <v>1085</v>
      </c>
      <c r="F956" s="189"/>
      <c r="G956" s="189"/>
      <c r="H956" s="189"/>
      <c r="I956" s="189"/>
      <c r="J956" s="189"/>
      <c r="K956" s="189"/>
      <c r="L956" s="189"/>
      <c r="M956" s="189"/>
      <c r="N956" s="189"/>
      <c r="O956" s="189"/>
      <c r="P956" s="52"/>
      <c r="R956" s="67"/>
      <c r="T956" s="11" t="str">
        <f>IF(OR(AND(ISBLANK(R956),CR.79&gt;0),AND(CR.79&lt;=0,NOT(ISBLANK(R956)))),"R","G")</f>
        <v>G</v>
      </c>
    </row>
    <row r="957" spans="1:20" ht="27" customHeight="1" x14ac:dyDescent="0.25">
      <c r="B957" s="46" t="str">
        <f>B952&amp;"-F"</f>
        <v>FI-JR-63-F</v>
      </c>
      <c r="C957" s="46"/>
      <c r="D957" s="84"/>
      <c r="E957" s="191" t="s">
        <v>1086</v>
      </c>
      <c r="F957" s="191"/>
      <c r="G957" s="191"/>
      <c r="H957" s="191"/>
      <c r="I957" s="191"/>
      <c r="J957" s="191"/>
      <c r="K957" s="191"/>
      <c r="L957" s="191"/>
      <c r="M957" s="191"/>
      <c r="N957" s="191"/>
      <c r="O957" s="191"/>
      <c r="P957" s="86"/>
      <c r="R957" s="67"/>
      <c r="T957" s="11" t="str">
        <f>IF(OR(AND(ISBLANK(R957),CR.79&gt;0),AND(CR.79&lt;=0,NOT(ISBLANK(R957)))),"R","G")</f>
        <v>G</v>
      </c>
    </row>
    <row r="958" spans="1:20" ht="9.75" customHeight="1" x14ac:dyDescent="0.25">
      <c r="B958" s="10"/>
      <c r="C958" s="10"/>
      <c r="D958" s="10"/>
      <c r="E958" s="10"/>
      <c r="F958" s="10"/>
      <c r="G958" s="10"/>
      <c r="H958" s="10"/>
      <c r="I958" s="10"/>
      <c r="J958" s="10"/>
      <c r="K958" s="10"/>
      <c r="L958" s="10"/>
      <c r="M958" s="10"/>
      <c r="N958" s="10"/>
      <c r="O958" s="10"/>
      <c r="P958" s="10"/>
      <c r="R958" s="10"/>
    </row>
    <row r="959" spans="1:20" ht="15" customHeight="1" x14ac:dyDescent="0.25">
      <c r="B959" s="87"/>
      <c r="C959" s="87"/>
      <c r="D959" s="192" t="str">
        <f>IF(R957=0,"",IF(SUM(G960:G972,K960:K972,O960:O966)=R957,"","The totals included next to each jurisdiction do not add up to "&amp;R957&amp;", please revise the figures."))</f>
        <v/>
      </c>
      <c r="E959" s="192"/>
      <c r="F959" s="192"/>
      <c r="G959" s="192"/>
      <c r="H959" s="192"/>
      <c r="I959" s="192"/>
      <c r="J959" s="192"/>
      <c r="K959" s="192"/>
      <c r="L959" s="192"/>
      <c r="M959" s="192"/>
      <c r="N959" s="192"/>
      <c r="O959" s="192"/>
      <c r="P959" s="88"/>
      <c r="R959" s="89"/>
      <c r="T959" s="11" t="str">
        <f>IF(D959="","G","R")</f>
        <v>G</v>
      </c>
    </row>
    <row r="960" spans="1:20" ht="25.5" x14ac:dyDescent="0.25">
      <c r="B960" s="90"/>
      <c r="C960" s="102" t="str">
        <f>$B$957&amp;"-"&amp;D960</f>
        <v>FI-JR-63-F-AF</v>
      </c>
      <c r="D960" s="91" t="s">
        <v>1093</v>
      </c>
      <c r="E960" s="103" t="s">
        <v>317</v>
      </c>
      <c r="F960" s="93"/>
      <c r="G960" s="116">
        <v>0</v>
      </c>
      <c r="H960" s="105" t="str">
        <f>$B$957&amp;"-"&amp;I960</f>
        <v>FI-JR-63-F-LA</v>
      </c>
      <c r="I960" s="91" t="s">
        <v>1317</v>
      </c>
      <c r="J960" s="92" t="s">
        <v>1312</v>
      </c>
      <c r="K960" s="116">
        <v>0</v>
      </c>
      <c r="L960" s="105" t="str">
        <f>$B$957&amp;"-"&amp;M960</f>
        <v>FI-JR-63-F-TZ</v>
      </c>
      <c r="M960" s="91" t="s">
        <v>1110</v>
      </c>
      <c r="N960" s="92" t="s">
        <v>526</v>
      </c>
      <c r="O960" s="99">
        <v>0</v>
      </c>
      <c r="P960" s="95"/>
      <c r="R960" s="89"/>
      <c r="T960" s="11" t="str">
        <f>IF(OR(AND(OR(ISBLANK(G960),ISBLANK(K960),ISBLANK(O960)),$R$957&gt;0),AND($R$957&lt;=0,OR(OR(G960&lt;&gt;0,K960&lt;&gt;0,O960&lt;&gt;0)))),"R","G")</f>
        <v>G</v>
      </c>
    </row>
    <row r="961" spans="1:20" x14ac:dyDescent="0.25">
      <c r="B961" s="90"/>
      <c r="C961" s="102" t="str">
        <f t="shared" ref="C961:C972" si="196">$B$957&amp;"-"&amp;D961</f>
        <v>FI-JR-63-F-DZ</v>
      </c>
      <c r="D961" s="91" t="s">
        <v>1094</v>
      </c>
      <c r="E961" s="103" t="s">
        <v>319</v>
      </c>
      <c r="F961" s="93"/>
      <c r="G961" s="116">
        <v>0</v>
      </c>
      <c r="H961" s="105" t="str">
        <f t="shared" ref="H961:H972" si="197">$B$957&amp;"-"&amp;I961</f>
        <v>FI-JR-63-F-LB</v>
      </c>
      <c r="I961" s="91" t="s">
        <v>1102</v>
      </c>
      <c r="J961" s="92" t="s">
        <v>434</v>
      </c>
      <c r="K961" s="116">
        <v>0</v>
      </c>
      <c r="L961" s="105" t="str">
        <f t="shared" ref="L961:L966" si="198">$B$957&amp;"-"&amp;M961</f>
        <v>FI-JR-63-F-TT</v>
      </c>
      <c r="M961" s="91" t="s">
        <v>1111</v>
      </c>
      <c r="N961" s="92" t="s">
        <v>532</v>
      </c>
      <c r="O961" s="99">
        <v>0</v>
      </c>
      <c r="P961" s="95"/>
      <c r="R961" s="89"/>
      <c r="T961" s="11" t="str">
        <f t="shared" ref="T961:T966" si="199">IF(OR(AND(OR(ISBLANK(G961),ISBLANK(K961),ISBLANK(O961)),$R$957&gt;0),AND($R$957&lt;=0,OR(OR(G961&lt;&gt;0,K961&lt;&gt;0,O961&lt;&gt;0)))),"R","G")</f>
        <v>G</v>
      </c>
    </row>
    <row r="962" spans="1:20" x14ac:dyDescent="0.25">
      <c r="B962" s="90"/>
      <c r="C962" s="102" t="str">
        <f t="shared" si="196"/>
        <v>FI-JR-63-F-AO</v>
      </c>
      <c r="D962" s="91" t="s">
        <v>1095</v>
      </c>
      <c r="E962" s="103" t="s">
        <v>322</v>
      </c>
      <c r="F962" s="93"/>
      <c r="G962" s="116">
        <v>0</v>
      </c>
      <c r="H962" s="105" t="str">
        <f t="shared" si="197"/>
        <v>FI-JR-63-F-ML</v>
      </c>
      <c r="I962" s="91" t="s">
        <v>1103</v>
      </c>
      <c r="J962" s="92" t="s">
        <v>447</v>
      </c>
      <c r="K962" s="116">
        <v>0</v>
      </c>
      <c r="L962" s="105" t="str">
        <f t="shared" si="198"/>
        <v>FI-JR-63-F-VU</v>
      </c>
      <c r="M962" s="91" t="s">
        <v>1112</v>
      </c>
      <c r="N962" s="92" t="s">
        <v>546</v>
      </c>
      <c r="O962" s="99">
        <v>0</v>
      </c>
      <c r="P962" s="95"/>
      <c r="R962" s="89"/>
      <c r="T962" s="11" t="str">
        <f t="shared" si="199"/>
        <v>G</v>
      </c>
    </row>
    <row r="963" spans="1:20" x14ac:dyDescent="0.25">
      <c r="B963" s="90"/>
      <c r="C963" s="102" t="str">
        <f t="shared" si="196"/>
        <v>FI-JR-63-F-BO</v>
      </c>
      <c r="D963" s="91" t="s">
        <v>1316</v>
      </c>
      <c r="E963" s="103" t="s">
        <v>342</v>
      </c>
      <c r="F963" s="93"/>
      <c r="G963" s="116">
        <v>0</v>
      </c>
      <c r="H963" s="105" t="str">
        <f t="shared" si="197"/>
        <v>FI-JR-63-F-MN</v>
      </c>
      <c r="I963" s="91" t="s">
        <v>1315</v>
      </c>
      <c r="J963" s="92" t="s">
        <v>457</v>
      </c>
      <c r="K963" s="116">
        <v>0</v>
      </c>
      <c r="L963" s="105" t="str">
        <f t="shared" si="198"/>
        <v>FI-JR-63-F-VE</v>
      </c>
      <c r="M963" s="91" t="s">
        <v>1113</v>
      </c>
      <c r="N963" s="92" t="s">
        <v>547</v>
      </c>
      <c r="O963" s="99">
        <v>0</v>
      </c>
      <c r="P963" s="95"/>
      <c r="R963" s="89"/>
      <c r="T963" s="11" t="str">
        <f t="shared" si="199"/>
        <v>G</v>
      </c>
    </row>
    <row r="964" spans="1:20" x14ac:dyDescent="0.25">
      <c r="B964" s="90"/>
      <c r="C964" s="102" t="str">
        <f>$B$957&amp;"-"&amp;D964</f>
        <v>FI-JR-63-F-BG</v>
      </c>
      <c r="D964" s="91" t="s">
        <v>1096</v>
      </c>
      <c r="E964" s="103" t="s">
        <v>349</v>
      </c>
      <c r="F964" s="93"/>
      <c r="G964" s="116">
        <v>0</v>
      </c>
      <c r="H964" s="105" t="str">
        <f t="shared" si="197"/>
        <v>FI-JR-63-F-MZ</v>
      </c>
      <c r="I964" s="91" t="s">
        <v>1104</v>
      </c>
      <c r="J964" s="92" t="s">
        <v>461</v>
      </c>
      <c r="K964" s="116">
        <v>0</v>
      </c>
      <c r="L964" s="105" t="str">
        <f t="shared" si="198"/>
        <v>FI-JR-63-F-VN</v>
      </c>
      <c r="M964" s="91" t="s">
        <v>1114</v>
      </c>
      <c r="N964" s="92" t="s">
        <v>1313</v>
      </c>
      <c r="O964" s="99">
        <v>0</v>
      </c>
      <c r="P964" s="95"/>
      <c r="R964" s="89"/>
      <c r="T964" s="11" t="str">
        <f t="shared" si="199"/>
        <v>G</v>
      </c>
    </row>
    <row r="965" spans="1:20" x14ac:dyDescent="0.25">
      <c r="B965" s="90"/>
      <c r="C965" s="102" t="str">
        <f t="shared" si="196"/>
        <v>FI-JR-63-F-BF</v>
      </c>
      <c r="D965" s="91" t="s">
        <v>1097</v>
      </c>
      <c r="E965" s="103" t="s">
        <v>350</v>
      </c>
      <c r="F965" s="93"/>
      <c r="G965" s="116">
        <v>0</v>
      </c>
      <c r="H965" s="105" t="str">
        <f t="shared" si="197"/>
        <v>FI-JR-63-F-MM</v>
      </c>
      <c r="I965" s="91" t="s">
        <v>1105</v>
      </c>
      <c r="J965" s="92" t="s">
        <v>462</v>
      </c>
      <c r="K965" s="116">
        <v>0</v>
      </c>
      <c r="L965" s="105" t="str">
        <f t="shared" si="198"/>
        <v>FI-JR-63-F-VI</v>
      </c>
      <c r="M965" s="91" t="s">
        <v>1319</v>
      </c>
      <c r="N965" s="92" t="s">
        <v>1314</v>
      </c>
      <c r="O965" s="99">
        <v>0</v>
      </c>
      <c r="P965" s="95"/>
      <c r="R965" s="89"/>
      <c r="T965" s="11" t="str">
        <f t="shared" si="199"/>
        <v>G</v>
      </c>
    </row>
    <row r="966" spans="1:20" x14ac:dyDescent="0.25">
      <c r="B966" s="90"/>
      <c r="C966" s="102" t="str">
        <f t="shared" si="196"/>
        <v>FI-JR-63-F-CM</v>
      </c>
      <c r="D966" s="91" t="s">
        <v>1098</v>
      </c>
      <c r="E966" s="103" t="s">
        <v>353</v>
      </c>
      <c r="F966" s="93"/>
      <c r="G966" s="116">
        <v>0</v>
      </c>
      <c r="H966" s="105" t="str">
        <f t="shared" si="197"/>
        <v>FI-JR-63-F-NA</v>
      </c>
      <c r="I966" s="91" t="s">
        <v>1106</v>
      </c>
      <c r="J966" s="92" t="s">
        <v>463</v>
      </c>
      <c r="K966" s="116">
        <v>0</v>
      </c>
      <c r="L966" s="105" t="str">
        <f t="shared" si="198"/>
        <v>FI-JR-63-F-YE</v>
      </c>
      <c r="M966" s="91" t="s">
        <v>1115</v>
      </c>
      <c r="N966" s="92" t="s">
        <v>553</v>
      </c>
      <c r="O966" s="99">
        <v>0</v>
      </c>
      <c r="P966" s="95"/>
      <c r="R966" s="89"/>
      <c r="T966" s="11" t="str">
        <f t="shared" si="199"/>
        <v>G</v>
      </c>
    </row>
    <row r="967" spans="1:20" ht="38.25" x14ac:dyDescent="0.25">
      <c r="B967" s="90"/>
      <c r="C967" s="102" t="str">
        <f t="shared" si="196"/>
        <v>FI-JR-63-F-CD</v>
      </c>
      <c r="D967" s="91" t="s">
        <v>1099</v>
      </c>
      <c r="E967" s="103" t="s">
        <v>366</v>
      </c>
      <c r="F967" s="93"/>
      <c r="G967" s="116">
        <v>0</v>
      </c>
      <c r="H967" s="105" t="str">
        <f t="shared" si="197"/>
        <v>FI-JR-63-F-NP</v>
      </c>
      <c r="I967" s="91" t="s">
        <v>1318</v>
      </c>
      <c r="J967" s="92" t="s">
        <v>465</v>
      </c>
      <c r="K967" s="116">
        <v>0</v>
      </c>
      <c r="L967" s="95"/>
      <c r="M967" s="95"/>
      <c r="N967" s="95"/>
      <c r="O967" s="95"/>
      <c r="P967" s="95"/>
      <c r="R967" s="89"/>
      <c r="T967" s="11" t="str">
        <f t="shared" ref="T967:T972" si="200">IF(OR(AND(OR(ISBLANK(G967),ISBLANK(K967)),$R$957&gt;0),AND($R$957&lt;=0,OR(OR(G967&lt;&gt;0,K967&lt;&gt;0)))),"R","G")</f>
        <v>G</v>
      </c>
    </row>
    <row r="968" spans="1:20" x14ac:dyDescent="0.25">
      <c r="B968" s="90"/>
      <c r="C968" s="102" t="str">
        <f t="shared" si="196"/>
        <v>FI-JR-63-F-CI</v>
      </c>
      <c r="D968" s="91" t="s">
        <v>1091</v>
      </c>
      <c r="E968" s="103" t="s">
        <v>369</v>
      </c>
      <c r="F968" s="93"/>
      <c r="G968" s="116">
        <v>0</v>
      </c>
      <c r="H968" s="105" t="str">
        <f t="shared" si="197"/>
        <v>FI-JR-63-F-NG</v>
      </c>
      <c r="I968" s="91" t="s">
        <v>1107</v>
      </c>
      <c r="J968" s="92" t="s">
        <v>472</v>
      </c>
      <c r="K968" s="116">
        <v>0</v>
      </c>
      <c r="L968" s="95"/>
      <c r="M968" s="95"/>
      <c r="N968" s="95"/>
      <c r="O968" s="95"/>
      <c r="P968" s="95"/>
      <c r="R968" s="89"/>
      <c r="T968" s="11" t="str">
        <f t="shared" si="200"/>
        <v>G</v>
      </c>
    </row>
    <row r="969" spans="1:20" x14ac:dyDescent="0.25">
      <c r="B969" s="90"/>
      <c r="C969" s="102" t="str">
        <f t="shared" si="196"/>
        <v>FI-JR-63-F-HT</v>
      </c>
      <c r="D969" s="91" t="s">
        <v>1100</v>
      </c>
      <c r="E969" s="103" t="s">
        <v>408</v>
      </c>
      <c r="F969" s="93"/>
      <c r="G969" s="116">
        <v>0</v>
      </c>
      <c r="H969" s="105" t="str">
        <f t="shared" si="197"/>
        <v>FI-JR-63-F-RU</v>
      </c>
      <c r="I969" s="91" t="s">
        <v>1321</v>
      </c>
      <c r="J969" s="92" t="s">
        <v>1320</v>
      </c>
      <c r="K969" s="116">
        <v>0</v>
      </c>
      <c r="L969" s="95"/>
      <c r="M969" s="95"/>
      <c r="N969" s="95"/>
      <c r="O969" s="95"/>
      <c r="P969" s="95"/>
      <c r="R969" s="89"/>
      <c r="T969" s="11" t="str">
        <f t="shared" si="200"/>
        <v>G</v>
      </c>
    </row>
    <row r="970" spans="1:20" ht="25.5" x14ac:dyDescent="0.25">
      <c r="B970" s="90"/>
      <c r="C970" s="102" t="str">
        <f t="shared" si="196"/>
        <v>FI-JR-63-F-IR</v>
      </c>
      <c r="D970" s="91" t="s">
        <v>912</v>
      </c>
      <c r="E970" s="103" t="s">
        <v>417</v>
      </c>
      <c r="F970" s="93"/>
      <c r="G970" s="116">
        <v>0</v>
      </c>
      <c r="H970" s="105" t="str">
        <f t="shared" si="197"/>
        <v>FI-JR-63-F-ZA</v>
      </c>
      <c r="I970" s="91" t="s">
        <v>1108</v>
      </c>
      <c r="J970" s="92" t="s">
        <v>513</v>
      </c>
      <c r="K970" s="116">
        <v>0</v>
      </c>
      <c r="L970" s="95"/>
      <c r="M970" s="95"/>
      <c r="N970" s="95"/>
      <c r="O970" s="95"/>
      <c r="P970" s="95"/>
      <c r="R970" s="89"/>
      <c r="T970" s="11" t="str">
        <f t="shared" si="200"/>
        <v>G</v>
      </c>
    </row>
    <row r="971" spans="1:20" x14ac:dyDescent="0.25">
      <c r="B971" s="90"/>
      <c r="C971" s="102" t="str">
        <f t="shared" si="196"/>
        <v>FI-JR-63-F-KE</v>
      </c>
      <c r="D971" s="91" t="s">
        <v>1101</v>
      </c>
      <c r="E971" s="103" t="s">
        <v>426</v>
      </c>
      <c r="F971" s="93"/>
      <c r="G971" s="116">
        <v>0</v>
      </c>
      <c r="H971" s="105" t="str">
        <f t="shared" si="197"/>
        <v>FI-JR-63-F-SS</v>
      </c>
      <c r="I971" s="91" t="s">
        <v>1089</v>
      </c>
      <c r="J971" s="92" t="s">
        <v>1088</v>
      </c>
      <c r="K971" s="99">
        <v>0</v>
      </c>
      <c r="L971" s="94"/>
      <c r="M971" s="95"/>
      <c r="N971" s="95"/>
      <c r="O971" s="95"/>
      <c r="P971" s="95"/>
      <c r="R971" s="89"/>
      <c r="T971" s="11" t="str">
        <f t="shared" si="200"/>
        <v>G</v>
      </c>
    </row>
    <row r="972" spans="1:20" ht="25.5" x14ac:dyDescent="0.25">
      <c r="B972" s="90"/>
      <c r="C972" s="102" t="str">
        <f t="shared" si="196"/>
        <v>FI-JR-63-F-KP</v>
      </c>
      <c r="D972" s="91" t="s">
        <v>1090</v>
      </c>
      <c r="E972" s="103" t="s">
        <v>428</v>
      </c>
      <c r="F972" s="96"/>
      <c r="G972" s="116">
        <v>0</v>
      </c>
      <c r="H972" s="105" t="str">
        <f t="shared" si="197"/>
        <v>FI-JR-63-F-SY</v>
      </c>
      <c r="I972" s="91" t="s">
        <v>1109</v>
      </c>
      <c r="J972" s="92" t="s">
        <v>523</v>
      </c>
      <c r="K972" s="99">
        <v>0</v>
      </c>
      <c r="L972" s="94"/>
      <c r="M972" s="95"/>
      <c r="N972" s="95"/>
      <c r="O972" s="95"/>
      <c r="P972" s="95"/>
      <c r="R972" s="89"/>
      <c r="T972" s="11" t="str">
        <f t="shared" si="200"/>
        <v>G</v>
      </c>
    </row>
    <row r="973" spans="1:20" x14ac:dyDescent="0.25">
      <c r="E973" s="52"/>
      <c r="F973" s="52"/>
      <c r="G973" s="52"/>
      <c r="H973" s="52"/>
      <c r="I973" s="52"/>
      <c r="J973" s="52"/>
      <c r="K973" s="52"/>
      <c r="L973" s="52"/>
      <c r="M973" s="52"/>
      <c r="N973" s="52"/>
      <c r="O973" s="52"/>
      <c r="P973" s="52"/>
    </row>
    <row r="974" spans="1:20" ht="7.35" customHeight="1" x14ac:dyDescent="0.25">
      <c r="B974" s="71"/>
      <c r="C974" s="71"/>
      <c r="D974" s="15"/>
      <c r="E974" s="15"/>
      <c r="F974" s="15"/>
      <c r="G974" s="15"/>
      <c r="H974" s="15"/>
      <c r="I974" s="15"/>
      <c r="J974" s="15"/>
      <c r="K974" s="15"/>
      <c r="L974" s="15"/>
      <c r="M974" s="72"/>
      <c r="N974" s="72"/>
      <c r="O974" s="72"/>
      <c r="P974" s="72"/>
      <c r="Q974" s="73"/>
      <c r="R974" s="74"/>
    </row>
    <row r="975" spans="1:20" ht="7.15" customHeight="1" x14ac:dyDescent="0.25">
      <c r="A975" s="75"/>
      <c r="B975" s="76"/>
      <c r="C975" s="76"/>
      <c r="D975" s="77"/>
      <c r="E975" s="77"/>
      <c r="F975" s="77"/>
      <c r="G975" s="77"/>
      <c r="H975" s="77"/>
      <c r="I975" s="77"/>
      <c r="J975" s="77"/>
      <c r="K975" s="77"/>
      <c r="L975" s="77"/>
      <c r="M975" s="77"/>
      <c r="N975" s="77"/>
      <c r="O975" s="77"/>
      <c r="P975" s="77"/>
      <c r="Q975" s="75"/>
      <c r="R975" s="78"/>
      <c r="S975" s="75"/>
      <c r="T975" s="12"/>
    </row>
    <row r="976" spans="1:20" ht="6.75" customHeight="1" x14ac:dyDescent="0.25">
      <c r="B976" s="71"/>
      <c r="C976" s="71"/>
      <c r="D976" s="15"/>
      <c r="E976" s="15"/>
      <c r="F976" s="15"/>
      <c r="G976" s="15"/>
      <c r="H976" s="15"/>
      <c r="I976" s="15"/>
      <c r="J976" s="15"/>
      <c r="K976" s="15"/>
      <c r="L976" s="15"/>
      <c r="M976" s="15"/>
      <c r="N976" s="15"/>
      <c r="O976" s="15"/>
      <c r="P976" s="15"/>
      <c r="R976" s="74"/>
    </row>
    <row r="977" spans="2:20" ht="19.5" thickBot="1" x14ac:dyDescent="0.3">
      <c r="B977" s="38" t="s">
        <v>1129</v>
      </c>
      <c r="C977" s="38"/>
      <c r="D977" s="39" t="s">
        <v>1178</v>
      </c>
      <c r="E977" s="40"/>
      <c r="F977" s="40"/>
      <c r="G977" s="40"/>
      <c r="H977" s="40"/>
      <c r="I977" s="40"/>
      <c r="J977" s="40"/>
      <c r="K977" s="40"/>
      <c r="L977" s="40"/>
      <c r="M977" s="40"/>
      <c r="N977" s="40"/>
      <c r="O977" s="40"/>
      <c r="P977" s="40"/>
      <c r="Q977" s="37"/>
      <c r="R977" s="42"/>
      <c r="S977" s="37"/>
    </row>
    <row r="978" spans="2:20" x14ac:dyDescent="0.25">
      <c r="E978" s="52"/>
      <c r="F978" s="52"/>
      <c r="G978" s="52"/>
      <c r="H978" s="52"/>
      <c r="I978" s="52"/>
      <c r="J978" s="52"/>
      <c r="K978" s="52"/>
      <c r="L978" s="52"/>
      <c r="M978" s="52"/>
      <c r="N978" s="52"/>
      <c r="O978" s="52"/>
      <c r="P978" s="52"/>
    </row>
    <row r="979" spans="2:20" ht="37.5" customHeight="1" x14ac:dyDescent="0.25">
      <c r="B979" s="15" t="s">
        <v>1186</v>
      </c>
      <c r="D979" s="186" t="s">
        <v>1187</v>
      </c>
      <c r="E979" s="186"/>
      <c r="F979" s="186"/>
      <c r="G979" s="186"/>
      <c r="H979" s="186"/>
      <c r="I979" s="186"/>
      <c r="J979" s="186"/>
      <c r="K979" s="186"/>
      <c r="L979" s="186"/>
      <c r="M979" s="186"/>
      <c r="N979" s="186"/>
      <c r="O979" s="186"/>
      <c r="P979" s="52"/>
      <c r="R979" s="10"/>
    </row>
    <row r="980" spans="2:20" ht="52.5" customHeight="1" x14ac:dyDescent="0.25">
      <c r="D980" s="190" t="s">
        <v>1349</v>
      </c>
      <c r="E980" s="190"/>
      <c r="F980" s="190"/>
      <c r="G980" s="190"/>
      <c r="H980" s="190"/>
      <c r="I980" s="190"/>
      <c r="J980" s="190"/>
      <c r="K980" s="190"/>
      <c r="L980" s="190"/>
      <c r="M980" s="190"/>
      <c r="N980" s="190"/>
      <c r="O980" s="190"/>
      <c r="P980" s="190"/>
      <c r="R980" s="101"/>
    </row>
    <row r="981" spans="2:20" ht="15" customHeight="1" x14ac:dyDescent="0.25">
      <c r="B981" s="46" t="str">
        <f>B979&amp;"-M"</f>
        <v>FI-JR-30-M</v>
      </c>
      <c r="C981" s="46"/>
      <c r="D981" s="84"/>
      <c r="E981" s="189" t="s">
        <v>448</v>
      </c>
      <c r="F981" s="189"/>
      <c r="G981" s="189"/>
      <c r="H981" s="189"/>
      <c r="I981" s="189"/>
      <c r="J981" s="189"/>
      <c r="K981" s="189"/>
      <c r="L981" s="189"/>
      <c r="M981" s="189"/>
      <c r="N981" s="189"/>
      <c r="O981" s="189"/>
      <c r="P981" s="52"/>
      <c r="R981" s="67"/>
      <c r="T981" s="11" t="str">
        <f>IF(OR(AND(ISBLANK(R981),CR.47&gt;0),AND(CR.47&lt;=0,NOT(ISBLANK(R981)))),"R","G")</f>
        <v>G</v>
      </c>
    </row>
    <row r="982" spans="2:20" ht="15" customHeight="1" x14ac:dyDescent="0.25">
      <c r="B982" s="46" t="str">
        <f>B979&amp;"-E"</f>
        <v>FI-JR-30-E</v>
      </c>
      <c r="C982" s="46"/>
      <c r="D982" s="84"/>
      <c r="E982" s="189" t="s">
        <v>1084</v>
      </c>
      <c r="F982" s="189"/>
      <c r="G982" s="189"/>
      <c r="H982" s="189"/>
      <c r="I982" s="189"/>
      <c r="J982" s="189"/>
      <c r="K982" s="189"/>
      <c r="L982" s="189"/>
      <c r="M982" s="189"/>
      <c r="N982" s="189"/>
      <c r="O982" s="189"/>
      <c r="P982" s="52"/>
      <c r="R982" s="67"/>
      <c r="T982" s="11" t="str">
        <f>IF(OR(AND(ISBLANK(R982),CR.47&gt;0),AND(CR.47&lt;=0,NOT(ISBLANK(R982)))),"R","G")</f>
        <v>G</v>
      </c>
    </row>
    <row r="983" spans="2:20" ht="15" customHeight="1" x14ac:dyDescent="0.25">
      <c r="B983" s="46" t="str">
        <f>B979&amp;"-N"</f>
        <v>FI-JR-30-N</v>
      </c>
      <c r="C983" s="46"/>
      <c r="D983" s="84"/>
      <c r="E983" s="189" t="s">
        <v>1085</v>
      </c>
      <c r="F983" s="189"/>
      <c r="G983" s="189"/>
      <c r="H983" s="189"/>
      <c r="I983" s="189"/>
      <c r="J983" s="189"/>
      <c r="K983" s="189"/>
      <c r="L983" s="189"/>
      <c r="M983" s="189"/>
      <c r="N983" s="189"/>
      <c r="O983" s="189"/>
      <c r="P983" s="52"/>
      <c r="R983" s="67"/>
      <c r="T983" s="11" t="str">
        <f>IF(OR(AND(ISBLANK(R983),CR.47&gt;0),AND(CR.47&lt;=0,NOT(ISBLANK(R983)))),"R","G")</f>
        <v>G</v>
      </c>
    </row>
    <row r="984" spans="2:20" ht="27" customHeight="1" x14ac:dyDescent="0.25">
      <c r="B984" s="46" t="str">
        <f>B979&amp;"-F"</f>
        <v>FI-JR-30-F</v>
      </c>
      <c r="C984" s="46"/>
      <c r="D984" s="84"/>
      <c r="E984" s="191" t="s">
        <v>1086</v>
      </c>
      <c r="F984" s="191"/>
      <c r="G984" s="191"/>
      <c r="H984" s="191"/>
      <c r="I984" s="191"/>
      <c r="J984" s="191"/>
      <c r="K984" s="191"/>
      <c r="L984" s="191"/>
      <c r="M984" s="191"/>
      <c r="N984" s="191"/>
      <c r="O984" s="191"/>
      <c r="P984" s="86"/>
      <c r="R984" s="67"/>
      <c r="T984" s="11" t="str">
        <f>IF(OR(AND(ISBLANK(R984),CR.47&gt;0),AND(CR.47&lt;=0,NOT(ISBLANK(R984)))),"R","G")</f>
        <v>G</v>
      </c>
    </row>
    <row r="985" spans="2:20" ht="9.75" customHeight="1" x14ac:dyDescent="0.25">
      <c r="B985" s="10"/>
      <c r="C985" s="10"/>
      <c r="D985" s="10"/>
      <c r="E985" s="10"/>
      <c r="F985" s="10"/>
      <c r="G985" s="10"/>
      <c r="H985" s="10"/>
      <c r="I985" s="10"/>
      <c r="J985" s="10"/>
      <c r="K985" s="10"/>
      <c r="L985" s="10"/>
      <c r="M985" s="10"/>
      <c r="N985" s="10"/>
      <c r="O985" s="10"/>
      <c r="P985" s="10"/>
      <c r="R985" s="10"/>
    </row>
    <row r="986" spans="2:20" ht="15" customHeight="1" x14ac:dyDescent="0.25">
      <c r="B986" s="87"/>
      <c r="C986" s="87"/>
      <c r="D986" s="192" t="str">
        <f>IF(R984=0,"",IF(SUM(G987:G999,K987:K999,O987:O993)=R984,"","The totals included next to each jurisdiction do not add up to "&amp;R984&amp;", please revise the figures."))</f>
        <v/>
      </c>
      <c r="E986" s="192"/>
      <c r="F986" s="192"/>
      <c r="G986" s="192"/>
      <c r="H986" s="192"/>
      <c r="I986" s="192"/>
      <c r="J986" s="192"/>
      <c r="K986" s="192"/>
      <c r="L986" s="192"/>
      <c r="M986" s="192"/>
      <c r="N986" s="192"/>
      <c r="O986" s="192"/>
      <c r="P986" s="88"/>
      <c r="R986" s="89"/>
      <c r="T986" s="11" t="str">
        <f>IF(D986="","G","R")</f>
        <v>G</v>
      </c>
    </row>
    <row r="987" spans="2:20" ht="25.5" x14ac:dyDescent="0.25">
      <c r="B987" s="90"/>
      <c r="C987" s="102" t="str">
        <f>$B$984&amp;"-"&amp;D987</f>
        <v>FI-JR-30-F-AF</v>
      </c>
      <c r="D987" s="91" t="s">
        <v>1093</v>
      </c>
      <c r="E987" s="103" t="s">
        <v>317</v>
      </c>
      <c r="F987" s="93"/>
      <c r="G987" s="116">
        <v>0</v>
      </c>
      <c r="H987" s="105" t="str">
        <f>$B$984&amp;"-"&amp;I987</f>
        <v>FI-JR-30-F-LA</v>
      </c>
      <c r="I987" s="91" t="s">
        <v>1317</v>
      </c>
      <c r="J987" s="92" t="s">
        <v>1312</v>
      </c>
      <c r="K987" s="116">
        <v>0</v>
      </c>
      <c r="L987" s="105" t="str">
        <f>$B$984&amp;"-"&amp;M987</f>
        <v>FI-JR-30-F-TZ</v>
      </c>
      <c r="M987" s="91" t="s">
        <v>1110</v>
      </c>
      <c r="N987" s="92" t="s">
        <v>526</v>
      </c>
      <c r="O987" s="99">
        <v>0</v>
      </c>
      <c r="P987" s="95"/>
      <c r="R987" s="89"/>
      <c r="T987" s="11" t="str">
        <f>IF(OR(AND(OR(ISBLANK(G987),ISBLANK(K987),ISBLANK(O987)),$R$984&gt;0),AND($R$984&lt;=0,OR(OR(G987&lt;&gt;0,K987&lt;&gt;0,O987&lt;&gt;0)))),"R","G")</f>
        <v>G</v>
      </c>
    </row>
    <row r="988" spans="2:20" x14ac:dyDescent="0.25">
      <c r="B988" s="90"/>
      <c r="C988" s="102" t="str">
        <f t="shared" ref="C988:C999" si="201">$B$984&amp;"-"&amp;D988</f>
        <v>FI-JR-30-F-DZ</v>
      </c>
      <c r="D988" s="91" t="s">
        <v>1094</v>
      </c>
      <c r="E988" s="103" t="s">
        <v>319</v>
      </c>
      <c r="F988" s="93"/>
      <c r="G988" s="116">
        <v>0</v>
      </c>
      <c r="H988" s="105" t="str">
        <f t="shared" ref="H988:H999" si="202">$B$984&amp;"-"&amp;I988</f>
        <v>FI-JR-30-F-LB</v>
      </c>
      <c r="I988" s="91" t="s">
        <v>1102</v>
      </c>
      <c r="J988" s="92" t="s">
        <v>434</v>
      </c>
      <c r="K988" s="116">
        <v>0</v>
      </c>
      <c r="L988" s="105" t="str">
        <f t="shared" ref="L988:L993" si="203">$B$984&amp;"-"&amp;M988</f>
        <v>FI-JR-30-F-TT</v>
      </c>
      <c r="M988" s="91" t="s">
        <v>1111</v>
      </c>
      <c r="N988" s="92" t="s">
        <v>532</v>
      </c>
      <c r="O988" s="99">
        <v>0</v>
      </c>
      <c r="P988" s="95"/>
      <c r="R988" s="89"/>
      <c r="T988" s="11" t="str">
        <f t="shared" ref="T988:T993" si="204">IF(OR(AND(OR(ISBLANK(G988),ISBLANK(K988),ISBLANK(O988)),$R$984&gt;0),AND($R$984&lt;=0,OR(OR(G988&lt;&gt;0,K988&lt;&gt;0,O988&lt;&gt;0)))),"R","G")</f>
        <v>G</v>
      </c>
    </row>
    <row r="989" spans="2:20" x14ac:dyDescent="0.25">
      <c r="B989" s="90"/>
      <c r="C989" s="102" t="str">
        <f t="shared" si="201"/>
        <v>FI-JR-30-F-AO</v>
      </c>
      <c r="D989" s="91" t="s">
        <v>1095</v>
      </c>
      <c r="E989" s="103" t="s">
        <v>322</v>
      </c>
      <c r="F989" s="93"/>
      <c r="G989" s="116">
        <v>0</v>
      </c>
      <c r="H989" s="105" t="str">
        <f t="shared" si="202"/>
        <v>FI-JR-30-F-ML</v>
      </c>
      <c r="I989" s="91" t="s">
        <v>1103</v>
      </c>
      <c r="J989" s="92" t="s">
        <v>447</v>
      </c>
      <c r="K989" s="116">
        <v>0</v>
      </c>
      <c r="L989" s="105" t="str">
        <f t="shared" si="203"/>
        <v>FI-JR-30-F-VU</v>
      </c>
      <c r="M989" s="91" t="s">
        <v>1112</v>
      </c>
      <c r="N989" s="92" t="s">
        <v>546</v>
      </c>
      <c r="O989" s="99">
        <v>0</v>
      </c>
      <c r="P989" s="95"/>
      <c r="R989" s="89"/>
      <c r="T989" s="11" t="str">
        <f t="shared" si="204"/>
        <v>G</v>
      </c>
    </row>
    <row r="990" spans="2:20" x14ac:dyDescent="0.25">
      <c r="B990" s="90"/>
      <c r="C990" s="102" t="str">
        <f t="shared" si="201"/>
        <v>FI-JR-30-F-BO</v>
      </c>
      <c r="D990" s="91" t="s">
        <v>1316</v>
      </c>
      <c r="E990" s="103" t="s">
        <v>342</v>
      </c>
      <c r="F990" s="93"/>
      <c r="G990" s="116">
        <v>0</v>
      </c>
      <c r="H990" s="105" t="str">
        <f t="shared" si="202"/>
        <v>FI-JR-30-F-MN</v>
      </c>
      <c r="I990" s="91" t="s">
        <v>1315</v>
      </c>
      <c r="J990" s="92" t="s">
        <v>457</v>
      </c>
      <c r="K990" s="116">
        <v>0</v>
      </c>
      <c r="L990" s="105" t="str">
        <f t="shared" si="203"/>
        <v>FI-JR-30-F-VE</v>
      </c>
      <c r="M990" s="91" t="s">
        <v>1113</v>
      </c>
      <c r="N990" s="92" t="s">
        <v>547</v>
      </c>
      <c r="O990" s="99">
        <v>0</v>
      </c>
      <c r="P990" s="95"/>
      <c r="R990" s="89"/>
      <c r="T990" s="11" t="str">
        <f t="shared" si="204"/>
        <v>G</v>
      </c>
    </row>
    <row r="991" spans="2:20" x14ac:dyDescent="0.25">
      <c r="B991" s="90"/>
      <c r="C991" s="102" t="str">
        <f t="shared" si="201"/>
        <v>FI-JR-30-F-BG</v>
      </c>
      <c r="D991" s="91" t="s">
        <v>1096</v>
      </c>
      <c r="E991" s="103" t="s">
        <v>349</v>
      </c>
      <c r="F991" s="93"/>
      <c r="G991" s="116">
        <v>0</v>
      </c>
      <c r="H991" s="105" t="str">
        <f t="shared" si="202"/>
        <v>FI-JR-30-F-MZ</v>
      </c>
      <c r="I991" s="91" t="s">
        <v>1104</v>
      </c>
      <c r="J991" s="92" t="s">
        <v>461</v>
      </c>
      <c r="K991" s="116">
        <v>0</v>
      </c>
      <c r="L991" s="105" t="str">
        <f t="shared" si="203"/>
        <v>FI-JR-30-F-VN</v>
      </c>
      <c r="M991" s="91" t="s">
        <v>1114</v>
      </c>
      <c r="N991" s="92" t="s">
        <v>1313</v>
      </c>
      <c r="O991" s="99">
        <v>0</v>
      </c>
      <c r="P991" s="95"/>
      <c r="R991" s="89"/>
      <c r="T991" s="11" t="str">
        <f t="shared" si="204"/>
        <v>G</v>
      </c>
    </row>
    <row r="992" spans="2:20" x14ac:dyDescent="0.25">
      <c r="B992" s="90"/>
      <c r="C992" s="102" t="str">
        <f t="shared" si="201"/>
        <v>FI-JR-30-F-BF</v>
      </c>
      <c r="D992" s="91" t="s">
        <v>1097</v>
      </c>
      <c r="E992" s="103" t="s">
        <v>350</v>
      </c>
      <c r="F992" s="93"/>
      <c r="G992" s="116">
        <v>0</v>
      </c>
      <c r="H992" s="105" t="str">
        <f t="shared" si="202"/>
        <v>FI-JR-30-F-MM</v>
      </c>
      <c r="I992" s="91" t="s">
        <v>1105</v>
      </c>
      <c r="J992" s="92" t="s">
        <v>462</v>
      </c>
      <c r="K992" s="116">
        <v>0</v>
      </c>
      <c r="L992" s="105" t="str">
        <f t="shared" si="203"/>
        <v>FI-JR-30-F-VI</v>
      </c>
      <c r="M992" s="91" t="s">
        <v>1319</v>
      </c>
      <c r="N992" s="92" t="s">
        <v>1314</v>
      </c>
      <c r="O992" s="99">
        <v>0</v>
      </c>
      <c r="P992" s="95"/>
      <c r="R992" s="89"/>
      <c r="T992" s="11" t="str">
        <f t="shared" si="204"/>
        <v>G</v>
      </c>
    </row>
    <row r="993" spans="2:20" x14ac:dyDescent="0.25">
      <c r="B993" s="90"/>
      <c r="C993" s="102" t="str">
        <f t="shared" si="201"/>
        <v>FI-JR-30-F-CM</v>
      </c>
      <c r="D993" s="91" t="s">
        <v>1098</v>
      </c>
      <c r="E993" s="103" t="s">
        <v>353</v>
      </c>
      <c r="F993" s="93"/>
      <c r="G993" s="116">
        <v>0</v>
      </c>
      <c r="H993" s="105" t="str">
        <f t="shared" si="202"/>
        <v>FI-JR-30-F-NA</v>
      </c>
      <c r="I993" s="91" t="s">
        <v>1106</v>
      </c>
      <c r="J993" s="92" t="s">
        <v>463</v>
      </c>
      <c r="K993" s="116">
        <v>0</v>
      </c>
      <c r="L993" s="105" t="str">
        <f t="shared" si="203"/>
        <v>FI-JR-30-F-YE</v>
      </c>
      <c r="M993" s="91" t="s">
        <v>1115</v>
      </c>
      <c r="N993" s="92" t="s">
        <v>553</v>
      </c>
      <c r="O993" s="99">
        <v>0</v>
      </c>
      <c r="P993" s="95"/>
      <c r="R993" s="89"/>
      <c r="T993" s="11" t="str">
        <f t="shared" si="204"/>
        <v>G</v>
      </c>
    </row>
    <row r="994" spans="2:20" ht="38.25" x14ac:dyDescent="0.25">
      <c r="B994" s="90"/>
      <c r="C994" s="102" t="str">
        <f t="shared" si="201"/>
        <v>FI-JR-30-F-CD</v>
      </c>
      <c r="D994" s="91" t="s">
        <v>1099</v>
      </c>
      <c r="E994" s="103" t="s">
        <v>366</v>
      </c>
      <c r="F994" s="93"/>
      <c r="G994" s="116">
        <v>0</v>
      </c>
      <c r="H994" s="105" t="str">
        <f t="shared" si="202"/>
        <v>FI-JR-30-F-NP</v>
      </c>
      <c r="I994" s="91" t="s">
        <v>1318</v>
      </c>
      <c r="J994" s="92" t="s">
        <v>465</v>
      </c>
      <c r="K994" s="116">
        <v>0</v>
      </c>
      <c r="L994" s="95"/>
      <c r="M994" s="95"/>
      <c r="N994" s="95"/>
      <c r="O994" s="95"/>
      <c r="P994" s="95"/>
      <c r="R994" s="89"/>
      <c r="T994" s="11" t="str">
        <f t="shared" ref="T994:T999" si="205">IF(OR(AND(OR(ISBLANK(G994),ISBLANK(K994)),$R$984&gt;0),AND($R$984&lt;=0,OR(OR(G994&lt;&gt;0,K994&lt;&gt;0)))),"R","G")</f>
        <v>G</v>
      </c>
    </row>
    <row r="995" spans="2:20" x14ac:dyDescent="0.25">
      <c r="B995" s="90"/>
      <c r="C995" s="102" t="str">
        <f t="shared" si="201"/>
        <v>FI-JR-30-F-CI</v>
      </c>
      <c r="D995" s="91" t="s">
        <v>1091</v>
      </c>
      <c r="E995" s="103" t="s">
        <v>369</v>
      </c>
      <c r="F995" s="93"/>
      <c r="G995" s="116">
        <v>0</v>
      </c>
      <c r="H995" s="105" t="str">
        <f t="shared" si="202"/>
        <v>FI-JR-30-F-NG</v>
      </c>
      <c r="I995" s="91" t="s">
        <v>1107</v>
      </c>
      <c r="J995" s="92" t="s">
        <v>472</v>
      </c>
      <c r="K995" s="116">
        <v>0</v>
      </c>
      <c r="L995" s="95"/>
      <c r="M995" s="95"/>
      <c r="N995" s="95"/>
      <c r="O995" s="95"/>
      <c r="P995" s="95"/>
      <c r="R995" s="89"/>
      <c r="T995" s="11" t="str">
        <f t="shared" si="205"/>
        <v>G</v>
      </c>
    </row>
    <row r="996" spans="2:20" x14ac:dyDescent="0.25">
      <c r="B996" s="90"/>
      <c r="C996" s="102" t="str">
        <f t="shared" si="201"/>
        <v>FI-JR-30-F-HT</v>
      </c>
      <c r="D996" s="91" t="s">
        <v>1100</v>
      </c>
      <c r="E996" s="103" t="s">
        <v>408</v>
      </c>
      <c r="F996" s="93"/>
      <c r="G996" s="116">
        <v>0</v>
      </c>
      <c r="H996" s="105" t="str">
        <f t="shared" si="202"/>
        <v>FI-JR-30-F-RU</v>
      </c>
      <c r="I996" s="91" t="s">
        <v>1321</v>
      </c>
      <c r="J996" s="92" t="s">
        <v>1320</v>
      </c>
      <c r="K996" s="116">
        <v>0</v>
      </c>
      <c r="L996" s="95"/>
      <c r="M996" s="95"/>
      <c r="N996" s="95"/>
      <c r="O996" s="95"/>
      <c r="P996" s="95"/>
      <c r="R996" s="89"/>
      <c r="T996" s="11" t="str">
        <f t="shared" si="205"/>
        <v>G</v>
      </c>
    </row>
    <row r="997" spans="2:20" ht="25.5" x14ac:dyDescent="0.25">
      <c r="B997" s="90"/>
      <c r="C997" s="102" t="str">
        <f t="shared" si="201"/>
        <v>FI-JR-30-F-IR</v>
      </c>
      <c r="D997" s="91" t="s">
        <v>912</v>
      </c>
      <c r="E997" s="103" t="s">
        <v>417</v>
      </c>
      <c r="F997" s="93"/>
      <c r="G997" s="116">
        <v>0</v>
      </c>
      <c r="H997" s="105" t="str">
        <f t="shared" si="202"/>
        <v>FI-JR-30-F-ZA</v>
      </c>
      <c r="I997" s="91" t="s">
        <v>1108</v>
      </c>
      <c r="J997" s="92" t="s">
        <v>513</v>
      </c>
      <c r="K997" s="116">
        <v>0</v>
      </c>
      <c r="L997" s="95"/>
      <c r="M997" s="95"/>
      <c r="N997" s="95"/>
      <c r="O997" s="95"/>
      <c r="P997" s="95"/>
      <c r="R997" s="89"/>
      <c r="T997" s="11" t="str">
        <f t="shared" si="205"/>
        <v>G</v>
      </c>
    </row>
    <row r="998" spans="2:20" x14ac:dyDescent="0.25">
      <c r="B998" s="90"/>
      <c r="C998" s="102" t="str">
        <f t="shared" si="201"/>
        <v>FI-JR-30-F-KE</v>
      </c>
      <c r="D998" s="91" t="s">
        <v>1101</v>
      </c>
      <c r="E998" s="103" t="s">
        <v>426</v>
      </c>
      <c r="F998" s="93"/>
      <c r="G998" s="116">
        <v>0</v>
      </c>
      <c r="H998" s="105" t="str">
        <f t="shared" si="202"/>
        <v>FI-JR-30-F-SS</v>
      </c>
      <c r="I998" s="91" t="s">
        <v>1089</v>
      </c>
      <c r="J998" s="92" t="s">
        <v>1088</v>
      </c>
      <c r="K998" s="116">
        <v>0</v>
      </c>
      <c r="L998" s="95"/>
      <c r="M998" s="95"/>
      <c r="N998" s="95"/>
      <c r="O998" s="95"/>
      <c r="P998" s="95"/>
      <c r="R998" s="89"/>
      <c r="T998" s="11" t="str">
        <f t="shared" si="205"/>
        <v>G</v>
      </c>
    </row>
    <row r="999" spans="2:20" ht="25.5" x14ac:dyDescent="0.25">
      <c r="B999" s="90"/>
      <c r="C999" s="102" t="str">
        <f t="shared" si="201"/>
        <v>FI-JR-30-F-KP</v>
      </c>
      <c r="D999" s="91" t="s">
        <v>1090</v>
      </c>
      <c r="E999" s="103" t="s">
        <v>428</v>
      </c>
      <c r="F999" s="96"/>
      <c r="G999" s="116">
        <v>0</v>
      </c>
      <c r="H999" s="105" t="str">
        <f t="shared" si="202"/>
        <v>FI-JR-30-F-SY</v>
      </c>
      <c r="I999" s="91" t="s">
        <v>1109</v>
      </c>
      <c r="J999" s="92" t="s">
        <v>523</v>
      </c>
      <c r="K999" s="116">
        <v>0</v>
      </c>
      <c r="L999" s="94"/>
      <c r="M999" s="95"/>
      <c r="N999" s="95"/>
      <c r="O999" s="95"/>
      <c r="P999" s="95"/>
      <c r="R999" s="89"/>
      <c r="T999" s="11" t="str">
        <f t="shared" si="205"/>
        <v>G</v>
      </c>
    </row>
    <row r="1000" spans="2:20" x14ac:dyDescent="0.25"/>
    <row r="1001" spans="2:20" ht="37.5" customHeight="1" x14ac:dyDescent="0.25">
      <c r="B1001" s="15" t="s">
        <v>1188</v>
      </c>
      <c r="D1001" s="186" t="s">
        <v>1189</v>
      </c>
      <c r="E1001" s="186"/>
      <c r="F1001" s="186"/>
      <c r="G1001" s="186"/>
      <c r="H1001" s="186"/>
      <c r="I1001" s="186"/>
      <c r="J1001" s="186"/>
      <c r="K1001" s="186"/>
      <c r="L1001" s="186"/>
      <c r="M1001" s="186"/>
      <c r="N1001" s="186"/>
      <c r="O1001" s="186"/>
      <c r="P1001" s="52"/>
      <c r="R1001" s="10"/>
    </row>
    <row r="1002" spans="2:20" ht="52.5" customHeight="1" x14ac:dyDescent="0.25">
      <c r="D1002" s="190" t="s">
        <v>1349</v>
      </c>
      <c r="E1002" s="190"/>
      <c r="F1002" s="190"/>
      <c r="G1002" s="190"/>
      <c r="H1002" s="190"/>
      <c r="I1002" s="190"/>
      <c r="J1002" s="190"/>
      <c r="K1002" s="190"/>
      <c r="L1002" s="190"/>
      <c r="M1002" s="190"/>
      <c r="N1002" s="190"/>
      <c r="O1002" s="190"/>
      <c r="P1002" s="190"/>
      <c r="R1002" s="101"/>
    </row>
    <row r="1003" spans="2:20" ht="15" customHeight="1" x14ac:dyDescent="0.25">
      <c r="B1003" s="46" t="str">
        <f>B1001&amp;"-M"</f>
        <v>FI-JR-31-M</v>
      </c>
      <c r="C1003" s="46"/>
      <c r="D1003" s="84"/>
      <c r="E1003" s="189" t="s">
        <v>448</v>
      </c>
      <c r="F1003" s="189"/>
      <c r="G1003" s="189"/>
      <c r="H1003" s="189"/>
      <c r="I1003" s="189"/>
      <c r="J1003" s="189"/>
      <c r="K1003" s="189"/>
      <c r="L1003" s="189"/>
      <c r="M1003" s="189"/>
      <c r="N1003" s="189"/>
      <c r="O1003" s="189"/>
      <c r="P1003" s="52"/>
      <c r="R1003" s="67"/>
      <c r="T1003" s="11" t="str">
        <f>IF(OR(AND(ISBLANK(R1003),CR.48&gt;0),AND(CR.48&lt;=0,NOT(ISBLANK(R1003)))),"R","G")</f>
        <v>G</v>
      </c>
    </row>
    <row r="1004" spans="2:20" ht="15" customHeight="1" x14ac:dyDescent="0.25">
      <c r="B1004" s="46" t="str">
        <f>B1001&amp;"-E"</f>
        <v>FI-JR-31-E</v>
      </c>
      <c r="C1004" s="46"/>
      <c r="D1004" s="84"/>
      <c r="E1004" s="189" t="s">
        <v>1084</v>
      </c>
      <c r="F1004" s="189"/>
      <c r="G1004" s="189"/>
      <c r="H1004" s="189"/>
      <c r="I1004" s="189"/>
      <c r="J1004" s="189"/>
      <c r="K1004" s="189"/>
      <c r="L1004" s="189"/>
      <c r="M1004" s="189"/>
      <c r="N1004" s="189"/>
      <c r="O1004" s="189"/>
      <c r="P1004" s="52"/>
      <c r="R1004" s="67"/>
      <c r="T1004" s="11" t="str">
        <f>IF(OR(AND(ISBLANK(R1004),CR.48&gt;0),AND(CR.48&lt;=0,NOT(ISBLANK(R1004)))),"R","G")</f>
        <v>G</v>
      </c>
    </row>
    <row r="1005" spans="2:20" ht="15" customHeight="1" x14ac:dyDescent="0.25">
      <c r="B1005" s="46" t="str">
        <f>B1001&amp;"-N"</f>
        <v>FI-JR-31-N</v>
      </c>
      <c r="C1005" s="46"/>
      <c r="D1005" s="84"/>
      <c r="E1005" s="189" t="s">
        <v>1085</v>
      </c>
      <c r="F1005" s="189"/>
      <c r="G1005" s="189"/>
      <c r="H1005" s="189"/>
      <c r="I1005" s="189"/>
      <c r="J1005" s="189"/>
      <c r="K1005" s="189"/>
      <c r="L1005" s="189"/>
      <c r="M1005" s="189"/>
      <c r="N1005" s="189"/>
      <c r="O1005" s="189"/>
      <c r="P1005" s="52"/>
      <c r="R1005" s="67"/>
      <c r="T1005" s="11" t="str">
        <f>IF(OR(AND(ISBLANK(R1005),CR.48&gt;0),AND(CR.48&lt;=0,NOT(ISBLANK(R1005)))),"R","G")</f>
        <v>G</v>
      </c>
    </row>
    <row r="1006" spans="2:20" ht="27" customHeight="1" x14ac:dyDescent="0.25">
      <c r="B1006" s="46" t="str">
        <f>B1001&amp;"-F"</f>
        <v>FI-JR-31-F</v>
      </c>
      <c r="C1006" s="46"/>
      <c r="D1006" s="84"/>
      <c r="E1006" s="191" t="s">
        <v>1086</v>
      </c>
      <c r="F1006" s="191"/>
      <c r="G1006" s="191"/>
      <c r="H1006" s="191"/>
      <c r="I1006" s="191"/>
      <c r="J1006" s="191"/>
      <c r="K1006" s="191"/>
      <c r="L1006" s="191"/>
      <c r="M1006" s="191"/>
      <c r="N1006" s="191"/>
      <c r="O1006" s="191"/>
      <c r="P1006" s="86"/>
      <c r="R1006" s="67"/>
      <c r="T1006" s="11" t="str">
        <f>IF(OR(AND(ISBLANK(R1006),CR.48&gt;0),AND(CR.48&lt;=0,NOT(ISBLANK(R1006)))),"R","G")</f>
        <v>G</v>
      </c>
    </row>
    <row r="1007" spans="2:20" ht="9.75" customHeight="1" x14ac:dyDescent="0.25">
      <c r="B1007" s="10"/>
      <c r="C1007" s="10"/>
      <c r="D1007" s="10"/>
      <c r="E1007" s="10"/>
      <c r="F1007" s="10"/>
      <c r="G1007" s="10"/>
      <c r="H1007" s="10"/>
      <c r="I1007" s="10"/>
      <c r="J1007" s="10"/>
      <c r="K1007" s="10"/>
      <c r="L1007" s="10"/>
      <c r="M1007" s="10"/>
      <c r="N1007" s="10"/>
      <c r="O1007" s="10"/>
      <c r="P1007" s="10"/>
      <c r="R1007" s="10"/>
    </row>
    <row r="1008" spans="2:20" ht="15" customHeight="1" x14ac:dyDescent="0.25">
      <c r="B1008" s="87"/>
      <c r="C1008" s="87"/>
      <c r="D1008" s="192" t="str">
        <f>IF(R1006=0,"",IF(SUM(G1009:G1021,K1009:K1021,O1009:O1015)=R1006,"","The totals included next to each jurisdiction do not add up to "&amp;R1006&amp;", please revise the figures."))</f>
        <v/>
      </c>
      <c r="E1008" s="192"/>
      <c r="F1008" s="192"/>
      <c r="G1008" s="192"/>
      <c r="H1008" s="192"/>
      <c r="I1008" s="192"/>
      <c r="J1008" s="192"/>
      <c r="K1008" s="192"/>
      <c r="L1008" s="192"/>
      <c r="M1008" s="192"/>
      <c r="N1008" s="192"/>
      <c r="O1008" s="192"/>
      <c r="P1008" s="88"/>
      <c r="R1008" s="89"/>
      <c r="T1008" s="11" t="str">
        <f>IF(D1008="","G","R")</f>
        <v>G</v>
      </c>
    </row>
    <row r="1009" spans="1:20" ht="25.5" x14ac:dyDescent="0.25">
      <c r="B1009" s="90"/>
      <c r="C1009" s="102" t="str">
        <f>$B$1006&amp;"-"&amp;D1009</f>
        <v>FI-JR-31-F-AF</v>
      </c>
      <c r="D1009" s="91" t="s">
        <v>1093</v>
      </c>
      <c r="E1009" s="103" t="s">
        <v>317</v>
      </c>
      <c r="F1009" s="93"/>
      <c r="G1009" s="116">
        <v>0</v>
      </c>
      <c r="H1009" s="105" t="str">
        <f>$B$1006&amp;"-"&amp;I1009</f>
        <v>FI-JR-31-F-LA</v>
      </c>
      <c r="I1009" s="91" t="s">
        <v>1317</v>
      </c>
      <c r="J1009" s="92" t="s">
        <v>1312</v>
      </c>
      <c r="K1009" s="116">
        <v>0</v>
      </c>
      <c r="L1009" s="105" t="str">
        <f>$B$1006&amp;"-"&amp;M1009</f>
        <v>FI-JR-31-F-TZ</v>
      </c>
      <c r="M1009" s="91" t="s">
        <v>1110</v>
      </c>
      <c r="N1009" s="92" t="s">
        <v>526</v>
      </c>
      <c r="O1009" s="99">
        <v>0</v>
      </c>
      <c r="P1009" s="95"/>
      <c r="R1009" s="89"/>
      <c r="T1009" s="11" t="str">
        <f>IF(OR(AND(OR(ISBLANK(G1009),ISBLANK(K1009),ISBLANK(O1009)),$R$1006&gt;0),AND($R$1006&lt;=0,OR(OR(G1009&lt;&gt;0,K1009&lt;&gt;0,O1009&lt;&gt;0)))),"R","G")</f>
        <v>G</v>
      </c>
    </row>
    <row r="1010" spans="1:20" x14ac:dyDescent="0.25">
      <c r="B1010" s="90"/>
      <c r="C1010" s="102" t="str">
        <f t="shared" ref="C1010:C1021" si="206">$B$1006&amp;"-"&amp;D1010</f>
        <v>FI-JR-31-F-DZ</v>
      </c>
      <c r="D1010" s="91" t="s">
        <v>1094</v>
      </c>
      <c r="E1010" s="103" t="s">
        <v>319</v>
      </c>
      <c r="F1010" s="93"/>
      <c r="G1010" s="116">
        <v>0</v>
      </c>
      <c r="H1010" s="105" t="str">
        <f t="shared" ref="H1010:H1021" si="207">$B$1006&amp;"-"&amp;I1010</f>
        <v>FI-JR-31-F-LB</v>
      </c>
      <c r="I1010" s="91" t="s">
        <v>1102</v>
      </c>
      <c r="J1010" s="92" t="s">
        <v>434</v>
      </c>
      <c r="K1010" s="116">
        <v>0</v>
      </c>
      <c r="L1010" s="105" t="str">
        <f t="shared" ref="L1010:L1015" si="208">$B$1006&amp;"-"&amp;M1010</f>
        <v>FI-JR-31-F-TT</v>
      </c>
      <c r="M1010" s="91" t="s">
        <v>1111</v>
      </c>
      <c r="N1010" s="92" t="s">
        <v>532</v>
      </c>
      <c r="O1010" s="99">
        <v>0</v>
      </c>
      <c r="P1010" s="95"/>
      <c r="R1010" s="89"/>
      <c r="T1010" s="11" t="str">
        <f t="shared" ref="T1010:T1015" si="209">IF(OR(AND(OR(ISBLANK(G1010),ISBLANK(K1010),ISBLANK(O1010)),$R$1006&gt;0),AND($R$1006&lt;=0,OR(OR(G1010&lt;&gt;0,K1010&lt;&gt;0,O1010&lt;&gt;0)))),"R","G")</f>
        <v>G</v>
      </c>
    </row>
    <row r="1011" spans="1:20" x14ac:dyDescent="0.25">
      <c r="B1011" s="90"/>
      <c r="C1011" s="102" t="str">
        <f t="shared" si="206"/>
        <v>FI-JR-31-F-AO</v>
      </c>
      <c r="D1011" s="91" t="s">
        <v>1095</v>
      </c>
      <c r="E1011" s="103" t="s">
        <v>322</v>
      </c>
      <c r="F1011" s="93"/>
      <c r="G1011" s="116">
        <v>0</v>
      </c>
      <c r="H1011" s="105" t="str">
        <f t="shared" si="207"/>
        <v>FI-JR-31-F-ML</v>
      </c>
      <c r="I1011" s="91" t="s">
        <v>1103</v>
      </c>
      <c r="J1011" s="92" t="s">
        <v>447</v>
      </c>
      <c r="K1011" s="116">
        <v>0</v>
      </c>
      <c r="L1011" s="105" t="str">
        <f t="shared" si="208"/>
        <v>FI-JR-31-F-VU</v>
      </c>
      <c r="M1011" s="91" t="s">
        <v>1112</v>
      </c>
      <c r="N1011" s="92" t="s">
        <v>546</v>
      </c>
      <c r="O1011" s="99">
        <v>0</v>
      </c>
      <c r="P1011" s="95"/>
      <c r="R1011" s="89"/>
      <c r="T1011" s="11" t="str">
        <f t="shared" si="209"/>
        <v>G</v>
      </c>
    </row>
    <row r="1012" spans="1:20" x14ac:dyDescent="0.25">
      <c r="B1012" s="90"/>
      <c r="C1012" s="102" t="str">
        <f t="shared" si="206"/>
        <v>FI-JR-31-F-BO</v>
      </c>
      <c r="D1012" s="91" t="s">
        <v>1316</v>
      </c>
      <c r="E1012" s="103" t="s">
        <v>342</v>
      </c>
      <c r="F1012" s="93"/>
      <c r="G1012" s="116">
        <v>0</v>
      </c>
      <c r="H1012" s="105" t="str">
        <f t="shared" si="207"/>
        <v>FI-JR-31-F-MN</v>
      </c>
      <c r="I1012" s="91" t="s">
        <v>1315</v>
      </c>
      <c r="J1012" s="92" t="s">
        <v>457</v>
      </c>
      <c r="K1012" s="116">
        <v>0</v>
      </c>
      <c r="L1012" s="105" t="str">
        <f t="shared" si="208"/>
        <v>FI-JR-31-F-VE</v>
      </c>
      <c r="M1012" s="91" t="s">
        <v>1113</v>
      </c>
      <c r="N1012" s="92" t="s">
        <v>547</v>
      </c>
      <c r="O1012" s="99">
        <v>0</v>
      </c>
      <c r="P1012" s="95"/>
      <c r="R1012" s="89"/>
      <c r="T1012" s="11" t="str">
        <f t="shared" si="209"/>
        <v>G</v>
      </c>
    </row>
    <row r="1013" spans="1:20" x14ac:dyDescent="0.25">
      <c r="B1013" s="90"/>
      <c r="C1013" s="102" t="str">
        <f t="shared" si="206"/>
        <v>FI-JR-31-F-BG</v>
      </c>
      <c r="D1013" s="91" t="s">
        <v>1096</v>
      </c>
      <c r="E1013" s="103" t="s">
        <v>349</v>
      </c>
      <c r="F1013" s="93"/>
      <c r="G1013" s="116">
        <v>0</v>
      </c>
      <c r="H1013" s="105" t="str">
        <f t="shared" si="207"/>
        <v>FI-JR-31-F-MZ</v>
      </c>
      <c r="I1013" s="91" t="s">
        <v>1104</v>
      </c>
      <c r="J1013" s="92" t="s">
        <v>461</v>
      </c>
      <c r="K1013" s="116">
        <v>0</v>
      </c>
      <c r="L1013" s="105" t="str">
        <f t="shared" si="208"/>
        <v>FI-JR-31-F-VN</v>
      </c>
      <c r="M1013" s="91" t="s">
        <v>1114</v>
      </c>
      <c r="N1013" s="92" t="s">
        <v>1313</v>
      </c>
      <c r="O1013" s="99">
        <v>0</v>
      </c>
      <c r="P1013" s="95"/>
      <c r="R1013" s="89"/>
      <c r="T1013" s="11" t="str">
        <f t="shared" si="209"/>
        <v>G</v>
      </c>
    </row>
    <row r="1014" spans="1:20" x14ac:dyDescent="0.25">
      <c r="B1014" s="90"/>
      <c r="C1014" s="102" t="str">
        <f t="shared" si="206"/>
        <v>FI-JR-31-F-BF</v>
      </c>
      <c r="D1014" s="91" t="s">
        <v>1097</v>
      </c>
      <c r="E1014" s="103" t="s">
        <v>350</v>
      </c>
      <c r="F1014" s="93"/>
      <c r="G1014" s="116">
        <v>0</v>
      </c>
      <c r="H1014" s="105" t="str">
        <f t="shared" si="207"/>
        <v>FI-JR-31-F-MM</v>
      </c>
      <c r="I1014" s="91" t="s">
        <v>1105</v>
      </c>
      <c r="J1014" s="92" t="s">
        <v>462</v>
      </c>
      <c r="K1014" s="116">
        <v>0</v>
      </c>
      <c r="L1014" s="105" t="str">
        <f t="shared" si="208"/>
        <v>FI-JR-31-F-VI</v>
      </c>
      <c r="M1014" s="91" t="s">
        <v>1319</v>
      </c>
      <c r="N1014" s="92" t="s">
        <v>1314</v>
      </c>
      <c r="O1014" s="99">
        <v>0</v>
      </c>
      <c r="P1014" s="95"/>
      <c r="R1014" s="89"/>
      <c r="T1014" s="11" t="str">
        <f t="shared" si="209"/>
        <v>G</v>
      </c>
    </row>
    <row r="1015" spans="1:20" x14ac:dyDescent="0.25">
      <c r="B1015" s="90"/>
      <c r="C1015" s="102" t="str">
        <f t="shared" si="206"/>
        <v>FI-JR-31-F-CM</v>
      </c>
      <c r="D1015" s="91" t="s">
        <v>1098</v>
      </c>
      <c r="E1015" s="103" t="s">
        <v>353</v>
      </c>
      <c r="F1015" s="93"/>
      <c r="G1015" s="116">
        <v>0</v>
      </c>
      <c r="H1015" s="105" t="str">
        <f t="shared" si="207"/>
        <v>FI-JR-31-F-NA</v>
      </c>
      <c r="I1015" s="91" t="s">
        <v>1106</v>
      </c>
      <c r="J1015" s="92" t="s">
        <v>463</v>
      </c>
      <c r="K1015" s="116">
        <v>0</v>
      </c>
      <c r="L1015" s="105" t="str">
        <f t="shared" si="208"/>
        <v>FI-JR-31-F-YE</v>
      </c>
      <c r="M1015" s="91" t="s">
        <v>1115</v>
      </c>
      <c r="N1015" s="92" t="s">
        <v>553</v>
      </c>
      <c r="O1015" s="99">
        <v>0</v>
      </c>
      <c r="P1015" s="95"/>
      <c r="R1015" s="89"/>
      <c r="T1015" s="11" t="str">
        <f t="shared" si="209"/>
        <v>G</v>
      </c>
    </row>
    <row r="1016" spans="1:20" ht="38.25" x14ac:dyDescent="0.25">
      <c r="B1016" s="90"/>
      <c r="C1016" s="102" t="str">
        <f t="shared" si="206"/>
        <v>FI-JR-31-F-CD</v>
      </c>
      <c r="D1016" s="91" t="s">
        <v>1099</v>
      </c>
      <c r="E1016" s="103" t="s">
        <v>366</v>
      </c>
      <c r="F1016" s="93"/>
      <c r="G1016" s="116">
        <v>0</v>
      </c>
      <c r="H1016" s="105" t="str">
        <f t="shared" si="207"/>
        <v>FI-JR-31-F-NP</v>
      </c>
      <c r="I1016" s="91" t="s">
        <v>1318</v>
      </c>
      <c r="J1016" s="92" t="s">
        <v>465</v>
      </c>
      <c r="K1016" s="116">
        <v>0</v>
      </c>
      <c r="L1016" s="95"/>
      <c r="M1016" s="95"/>
      <c r="N1016" s="95"/>
      <c r="O1016" s="95"/>
      <c r="P1016" s="95"/>
      <c r="R1016" s="89"/>
      <c r="T1016" s="11" t="str">
        <f t="shared" ref="T1016:T1021" si="210">IF(OR(AND(OR(ISBLANK(G1016),ISBLANK(K1016)),$R$1006&gt;0),AND($R$1006&lt;=0,OR(OR(G1016&lt;&gt;0,K1016&lt;&gt;0)))),"R","G")</f>
        <v>G</v>
      </c>
    </row>
    <row r="1017" spans="1:20" x14ac:dyDescent="0.25">
      <c r="B1017" s="90"/>
      <c r="C1017" s="102" t="str">
        <f t="shared" si="206"/>
        <v>FI-JR-31-F-CI</v>
      </c>
      <c r="D1017" s="91" t="s">
        <v>1091</v>
      </c>
      <c r="E1017" s="103" t="s">
        <v>369</v>
      </c>
      <c r="F1017" s="93"/>
      <c r="G1017" s="116">
        <v>0</v>
      </c>
      <c r="H1017" s="105" t="str">
        <f t="shared" si="207"/>
        <v>FI-JR-31-F-NG</v>
      </c>
      <c r="I1017" s="91" t="s">
        <v>1107</v>
      </c>
      <c r="J1017" s="92" t="s">
        <v>472</v>
      </c>
      <c r="K1017" s="116">
        <v>0</v>
      </c>
      <c r="L1017" s="95"/>
      <c r="M1017" s="95"/>
      <c r="N1017" s="95"/>
      <c r="O1017" s="95"/>
      <c r="P1017" s="95"/>
      <c r="R1017" s="89"/>
      <c r="T1017" s="11" t="str">
        <f t="shared" si="210"/>
        <v>G</v>
      </c>
    </row>
    <row r="1018" spans="1:20" x14ac:dyDescent="0.25">
      <c r="B1018" s="90"/>
      <c r="C1018" s="102" t="str">
        <f t="shared" si="206"/>
        <v>FI-JR-31-F-HT</v>
      </c>
      <c r="D1018" s="91" t="s">
        <v>1100</v>
      </c>
      <c r="E1018" s="103" t="s">
        <v>408</v>
      </c>
      <c r="F1018" s="93"/>
      <c r="G1018" s="116">
        <v>0</v>
      </c>
      <c r="H1018" s="105" t="str">
        <f t="shared" si="207"/>
        <v>FI-JR-31-F-RU</v>
      </c>
      <c r="I1018" s="91" t="s">
        <v>1321</v>
      </c>
      <c r="J1018" s="92" t="s">
        <v>1320</v>
      </c>
      <c r="K1018" s="116">
        <v>0</v>
      </c>
      <c r="L1018" s="95"/>
      <c r="M1018" s="95"/>
      <c r="N1018" s="95"/>
      <c r="O1018" s="95"/>
      <c r="P1018" s="95"/>
      <c r="R1018" s="89"/>
      <c r="T1018" s="11" t="str">
        <f t="shared" si="210"/>
        <v>G</v>
      </c>
    </row>
    <row r="1019" spans="1:20" ht="25.5" x14ac:dyDescent="0.25">
      <c r="B1019" s="90"/>
      <c r="C1019" s="102" t="str">
        <f t="shared" si="206"/>
        <v>FI-JR-31-F-IR</v>
      </c>
      <c r="D1019" s="91" t="s">
        <v>912</v>
      </c>
      <c r="E1019" s="103" t="s">
        <v>417</v>
      </c>
      <c r="F1019" s="93"/>
      <c r="G1019" s="116">
        <v>0</v>
      </c>
      <c r="H1019" s="105" t="str">
        <f t="shared" si="207"/>
        <v>FI-JR-31-F-ZA</v>
      </c>
      <c r="I1019" s="91" t="s">
        <v>1108</v>
      </c>
      <c r="J1019" s="92" t="s">
        <v>513</v>
      </c>
      <c r="K1019" s="116">
        <v>0</v>
      </c>
      <c r="L1019" s="95"/>
      <c r="M1019" s="95"/>
      <c r="N1019" s="95"/>
      <c r="O1019" s="95"/>
      <c r="P1019" s="95"/>
      <c r="R1019" s="89"/>
      <c r="T1019" s="11" t="str">
        <f t="shared" si="210"/>
        <v>G</v>
      </c>
    </row>
    <row r="1020" spans="1:20" x14ac:dyDescent="0.25">
      <c r="B1020" s="90"/>
      <c r="C1020" s="102" t="str">
        <f t="shared" si="206"/>
        <v>FI-JR-31-F-KE</v>
      </c>
      <c r="D1020" s="91" t="s">
        <v>1101</v>
      </c>
      <c r="E1020" s="103" t="s">
        <v>426</v>
      </c>
      <c r="F1020" s="93"/>
      <c r="G1020" s="116">
        <v>0</v>
      </c>
      <c r="H1020" s="105" t="str">
        <f t="shared" si="207"/>
        <v>FI-JR-31-F-SS</v>
      </c>
      <c r="I1020" s="91" t="s">
        <v>1089</v>
      </c>
      <c r="J1020" s="92" t="s">
        <v>1088</v>
      </c>
      <c r="K1020" s="99">
        <v>0</v>
      </c>
      <c r="L1020" s="94"/>
      <c r="M1020" s="95"/>
      <c r="N1020" s="95"/>
      <c r="O1020" s="95"/>
      <c r="P1020" s="95"/>
      <c r="R1020" s="89"/>
      <c r="T1020" s="11" t="str">
        <f t="shared" si="210"/>
        <v>G</v>
      </c>
    </row>
    <row r="1021" spans="1:20" ht="25.5" x14ac:dyDescent="0.25">
      <c r="B1021" s="90"/>
      <c r="C1021" s="102" t="str">
        <f t="shared" si="206"/>
        <v>FI-JR-31-F-KP</v>
      </c>
      <c r="D1021" s="91" t="s">
        <v>1090</v>
      </c>
      <c r="E1021" s="103" t="s">
        <v>428</v>
      </c>
      <c r="F1021" s="96"/>
      <c r="G1021" s="116">
        <v>0</v>
      </c>
      <c r="H1021" s="105" t="str">
        <f t="shared" si="207"/>
        <v>FI-JR-31-F-SY</v>
      </c>
      <c r="I1021" s="91" t="s">
        <v>1109</v>
      </c>
      <c r="J1021" s="92" t="s">
        <v>523</v>
      </c>
      <c r="K1021" s="99">
        <v>0</v>
      </c>
      <c r="L1021" s="94"/>
      <c r="M1021" s="95"/>
      <c r="N1021" s="95"/>
      <c r="O1021" s="95"/>
      <c r="P1021" s="95"/>
      <c r="R1021" s="89"/>
      <c r="T1021" s="11" t="str">
        <f t="shared" si="210"/>
        <v>G</v>
      </c>
    </row>
    <row r="1022" spans="1:20" x14ac:dyDescent="0.25"/>
    <row r="1023" spans="1:20" x14ac:dyDescent="0.25">
      <c r="P1023" s="43"/>
    </row>
    <row r="1024" spans="1:20" ht="6.6" customHeight="1" x14ac:dyDescent="0.25">
      <c r="A1024" s="13"/>
      <c r="B1024" s="58"/>
      <c r="C1024" s="58"/>
      <c r="D1024" s="13"/>
      <c r="E1024" s="13"/>
      <c r="F1024" s="13"/>
      <c r="G1024" s="13"/>
      <c r="H1024" s="13"/>
      <c r="I1024" s="13"/>
      <c r="J1024" s="13"/>
      <c r="K1024" s="13"/>
      <c r="L1024" s="13"/>
      <c r="M1024" s="13"/>
      <c r="N1024" s="13"/>
      <c r="O1024" s="13"/>
      <c r="P1024" s="13"/>
      <c r="Q1024" s="13"/>
      <c r="R1024" s="59"/>
      <c r="S1024" s="13"/>
      <c r="T1024" s="13"/>
    </row>
    <row r="1025" spans="20:20" ht="29.1" hidden="1" customHeight="1" x14ac:dyDescent="0.25"/>
    <row r="1026" spans="20:20" ht="37.5" hidden="1" customHeight="1" x14ac:dyDescent="0.25"/>
    <row r="1027" spans="20:20" ht="37.5" hidden="1" customHeight="1" x14ac:dyDescent="0.25"/>
    <row r="1028" spans="20:20" ht="15" hidden="1" customHeight="1" x14ac:dyDescent="0.25">
      <c r="T1028" s="11"/>
    </row>
    <row r="1030" spans="20:20" ht="14.45" hidden="1" customHeight="1" x14ac:dyDescent="0.25">
      <c r="T1030" s="11"/>
    </row>
    <row r="1031" spans="20:20" ht="14.45" hidden="1" customHeight="1" x14ac:dyDescent="0.25">
      <c r="T1031" s="11"/>
    </row>
    <row r="1032" spans="20:20" ht="51.95" hidden="1" customHeight="1" x14ac:dyDescent="0.25"/>
    <row r="1033" spans="20:20" ht="30.75" hidden="1" customHeight="1" x14ac:dyDescent="0.25">
      <c r="T1033" s="11"/>
    </row>
    <row r="1034" spans="20:20" ht="40.5" hidden="1" customHeight="1" x14ac:dyDescent="0.25"/>
    <row r="1035" spans="20:20" ht="246.6" hidden="1" customHeight="1" x14ac:dyDescent="0.25"/>
    <row r="1036" spans="20:20" ht="246.6" hidden="1" customHeight="1" x14ac:dyDescent="0.25"/>
    <row r="1037" spans="20:20" ht="409.5" hidden="1" customHeight="1" x14ac:dyDescent="0.25"/>
    <row r="1038" spans="20:20" ht="333.6" hidden="1" customHeight="1" x14ac:dyDescent="0.25"/>
    <row r="1039" spans="20:20" ht="246.6" hidden="1" customHeight="1" x14ac:dyDescent="0.25"/>
    <row r="1040" spans="20:20" ht="409.5" hidden="1" customHeight="1" x14ac:dyDescent="0.25">
      <c r="T1040" s="11"/>
    </row>
    <row r="1041" spans="20:20" ht="377.1" hidden="1" customHeight="1" x14ac:dyDescent="0.25"/>
    <row r="1042" spans="20:20" ht="31.5" hidden="1" customHeight="1" x14ac:dyDescent="0.25">
      <c r="T1042" s="11"/>
    </row>
    <row r="1043" spans="20:20" ht="409.5" hidden="1" customHeight="1" x14ac:dyDescent="0.25"/>
    <row r="1044" spans="20:20" ht="77.25" hidden="1" customHeight="1" x14ac:dyDescent="0.25">
      <c r="T1044" s="11"/>
    </row>
    <row r="1045" spans="20:20" ht="246.6" hidden="1" customHeight="1" x14ac:dyDescent="0.25">
      <c r="T1045" s="11"/>
    </row>
    <row r="1046" spans="20:20" ht="31.5" hidden="1" customHeight="1" x14ac:dyDescent="0.25">
      <c r="T1046" s="11"/>
    </row>
    <row r="1047" spans="20:20" ht="409.5" hidden="1" customHeight="1" x14ac:dyDescent="0.25"/>
    <row r="1048" spans="20:20" ht="33" hidden="1" customHeight="1" x14ac:dyDescent="0.25">
      <c r="T1048" s="11"/>
    </row>
    <row r="1049" spans="20:20" ht="409.5" hidden="1" customHeight="1" x14ac:dyDescent="0.25"/>
    <row r="1050" spans="20:20" ht="30" hidden="1" customHeight="1" x14ac:dyDescent="0.25">
      <c r="T1050" s="11"/>
    </row>
    <row r="1051" spans="20:20" ht="246.6" hidden="1" customHeight="1" x14ac:dyDescent="0.25"/>
    <row r="1052" spans="20:20" ht="31.5" hidden="1" customHeight="1" x14ac:dyDescent="0.25">
      <c r="T1052" s="11"/>
    </row>
    <row r="1053" spans="20:20" ht="409.5" hidden="1" customHeight="1" x14ac:dyDescent="0.25"/>
    <row r="1054" spans="20:20" ht="33.75" hidden="1" customHeight="1" x14ac:dyDescent="0.25"/>
    <row r="1055" spans="20:20" ht="409.5" hidden="1" customHeight="1" x14ac:dyDescent="0.25"/>
    <row r="1056" spans="20:20" ht="31.5" hidden="1" customHeight="1" x14ac:dyDescent="0.25"/>
    <row r="1057" ht="409.5" hidden="1" customHeight="1" x14ac:dyDescent="0.25"/>
    <row r="1058" ht="14.45" hidden="1" customHeight="1" x14ac:dyDescent="0.25"/>
    <row r="1059" ht="14.45" hidden="1" customHeight="1" x14ac:dyDescent="0.25"/>
    <row r="1060" ht="14.45" hidden="1" customHeight="1" x14ac:dyDescent="0.25"/>
    <row r="1061" ht="14.45" hidden="1" customHeight="1" x14ac:dyDescent="0.25"/>
    <row r="1062" ht="14.45" hidden="1" customHeight="1" x14ac:dyDescent="0.25"/>
  </sheetData>
  <sheetProtection algorithmName="SHA-512" hashValue="efiXGX8jd0VLsh0qIGMEROrJCe45ANgAg5gDYdQrRkaTskaupmykO7V2NyHE0HkJQAnAfgrwisbLZh9aPdFFhQ==" saltValue="RldY2THhHcbiZFguco96dw==" spinCount="100000" sheet="1" objects="1" scenarios="1"/>
  <mergeCells count="324">
    <mergeCell ref="E742:O742"/>
    <mergeCell ref="D744:O744"/>
    <mergeCell ref="E718:O718"/>
    <mergeCell ref="E719:O719"/>
    <mergeCell ref="E720:O720"/>
    <mergeCell ref="D722:O722"/>
    <mergeCell ref="D737:O737"/>
    <mergeCell ref="D738:P738"/>
    <mergeCell ref="E739:O739"/>
    <mergeCell ref="E740:O740"/>
    <mergeCell ref="E741:O741"/>
    <mergeCell ref="D694:P694"/>
    <mergeCell ref="E695:O695"/>
    <mergeCell ref="E696:O696"/>
    <mergeCell ref="E697:O697"/>
    <mergeCell ref="E698:O698"/>
    <mergeCell ref="D700:O700"/>
    <mergeCell ref="D715:O715"/>
    <mergeCell ref="D716:P716"/>
    <mergeCell ref="E717:O717"/>
    <mergeCell ref="D670:O670"/>
    <mergeCell ref="D671:O671"/>
    <mergeCell ref="D672:P672"/>
    <mergeCell ref="E673:O673"/>
    <mergeCell ref="E674:O674"/>
    <mergeCell ref="E675:O675"/>
    <mergeCell ref="E676:O676"/>
    <mergeCell ref="D678:O678"/>
    <mergeCell ref="D693:O693"/>
    <mergeCell ref="E786:O786"/>
    <mergeCell ref="E806:O806"/>
    <mergeCell ref="E807:O807"/>
    <mergeCell ref="D980:P980"/>
    <mergeCell ref="E981:O981"/>
    <mergeCell ref="E982:O982"/>
    <mergeCell ref="D833:O833"/>
    <mergeCell ref="D759:O759"/>
    <mergeCell ref="D760:O760"/>
    <mergeCell ref="D761:P761"/>
    <mergeCell ref="E765:O765"/>
    <mergeCell ref="D767:O767"/>
    <mergeCell ref="D782:O782"/>
    <mergeCell ref="D783:P783"/>
    <mergeCell ref="E787:O787"/>
    <mergeCell ref="E828:O828"/>
    <mergeCell ref="E829:O829"/>
    <mergeCell ref="E830:O830"/>
    <mergeCell ref="D789:O789"/>
    <mergeCell ref="D804:O804"/>
    <mergeCell ref="D805:P805"/>
    <mergeCell ref="E809:O809"/>
    <mergeCell ref="D811:O811"/>
    <mergeCell ref="D826:O826"/>
    <mergeCell ref="D827:P827"/>
    <mergeCell ref="E831:O831"/>
    <mergeCell ref="E785:O785"/>
    <mergeCell ref="D937:O937"/>
    <mergeCell ref="D952:O952"/>
    <mergeCell ref="D953:P953"/>
    <mergeCell ref="E808:O808"/>
    <mergeCell ref="E762:O762"/>
    <mergeCell ref="E763:O763"/>
    <mergeCell ref="E764:O764"/>
    <mergeCell ref="E784:O784"/>
    <mergeCell ref="E877:O877"/>
    <mergeCell ref="E878:O878"/>
    <mergeCell ref="E879:O879"/>
    <mergeCell ref="E880:O880"/>
    <mergeCell ref="D882:O882"/>
    <mergeCell ref="D902:O902"/>
    <mergeCell ref="D903:P903"/>
    <mergeCell ref="E904:O904"/>
    <mergeCell ref="E905:O905"/>
    <mergeCell ref="D853:O853"/>
    <mergeCell ref="D854:P854"/>
    <mergeCell ref="E855:O855"/>
    <mergeCell ref="E856:O856"/>
    <mergeCell ref="D1008:O1008"/>
    <mergeCell ref="E983:O983"/>
    <mergeCell ref="E984:O984"/>
    <mergeCell ref="D986:O986"/>
    <mergeCell ref="D1001:O1001"/>
    <mergeCell ref="D1002:P1002"/>
    <mergeCell ref="E1003:O1003"/>
    <mergeCell ref="E1004:O1004"/>
    <mergeCell ref="E1005:O1005"/>
    <mergeCell ref="E1006:O1006"/>
    <mergeCell ref="E954:O954"/>
    <mergeCell ref="E955:O955"/>
    <mergeCell ref="E956:O956"/>
    <mergeCell ref="E957:O957"/>
    <mergeCell ref="D959:O959"/>
    <mergeCell ref="D979:O979"/>
    <mergeCell ref="E906:O906"/>
    <mergeCell ref="E907:O907"/>
    <mergeCell ref="D909:O909"/>
    <mergeCell ref="D930:O930"/>
    <mergeCell ref="D931:P931"/>
    <mergeCell ref="E932:O932"/>
    <mergeCell ref="E933:O933"/>
    <mergeCell ref="E934:O934"/>
    <mergeCell ref="E935:O935"/>
    <mergeCell ref="E857:O857"/>
    <mergeCell ref="E858:O858"/>
    <mergeCell ref="D860:O860"/>
    <mergeCell ref="D875:O875"/>
    <mergeCell ref="D876:P876"/>
    <mergeCell ref="E439:O439"/>
    <mergeCell ref="E440:O440"/>
    <mergeCell ref="D442:O442"/>
    <mergeCell ref="D457:O457"/>
    <mergeCell ref="D458:P458"/>
    <mergeCell ref="E459:O459"/>
    <mergeCell ref="E484:O484"/>
    <mergeCell ref="D486:O486"/>
    <mergeCell ref="E460:O460"/>
    <mergeCell ref="E461:O461"/>
    <mergeCell ref="E462:O462"/>
    <mergeCell ref="D464:O464"/>
    <mergeCell ref="D479:O479"/>
    <mergeCell ref="D480:P480"/>
    <mergeCell ref="E481:O481"/>
    <mergeCell ref="E482:O482"/>
    <mergeCell ref="E483:O483"/>
    <mergeCell ref="E603:O603"/>
    <mergeCell ref="E623:O623"/>
    <mergeCell ref="E416:O416"/>
    <mergeCell ref="E417:O417"/>
    <mergeCell ref="E418:O418"/>
    <mergeCell ref="D420:O420"/>
    <mergeCell ref="D435:O435"/>
    <mergeCell ref="D436:P436"/>
    <mergeCell ref="E437:O437"/>
    <mergeCell ref="E438:O438"/>
    <mergeCell ref="E302:O302"/>
    <mergeCell ref="E303:O303"/>
    <mergeCell ref="D354:O354"/>
    <mergeCell ref="D369:O369"/>
    <mergeCell ref="D370:P370"/>
    <mergeCell ref="E371:O371"/>
    <mergeCell ref="E372:O372"/>
    <mergeCell ref="E625:O625"/>
    <mergeCell ref="E626:O626"/>
    <mergeCell ref="D235:P235"/>
    <mergeCell ref="E236:O236"/>
    <mergeCell ref="E237:O237"/>
    <mergeCell ref="E238:O238"/>
    <mergeCell ref="E239:O239"/>
    <mergeCell ref="D241:O241"/>
    <mergeCell ref="D256:O256"/>
    <mergeCell ref="D257:P257"/>
    <mergeCell ref="E258:O258"/>
    <mergeCell ref="E259:O259"/>
    <mergeCell ref="E260:O260"/>
    <mergeCell ref="E261:O261"/>
    <mergeCell ref="D263:O263"/>
    <mergeCell ref="D325:O325"/>
    <mergeCell ref="D326:P326"/>
    <mergeCell ref="E327:O327"/>
    <mergeCell ref="E328:O328"/>
    <mergeCell ref="E329:O329"/>
    <mergeCell ref="E577:O577"/>
    <mergeCell ref="D579:O579"/>
    <mergeCell ref="E373:O373"/>
    <mergeCell ref="D278:O278"/>
    <mergeCell ref="E2:R2"/>
    <mergeCell ref="E15:O15"/>
    <mergeCell ref="E16:O16"/>
    <mergeCell ref="E17:O17"/>
    <mergeCell ref="D20:O20"/>
    <mergeCell ref="G34:O34"/>
    <mergeCell ref="E18:O18"/>
    <mergeCell ref="E350:O350"/>
    <mergeCell ref="E352:O352"/>
    <mergeCell ref="E351:O351"/>
    <mergeCell ref="E88:O88"/>
    <mergeCell ref="D90:O90"/>
    <mergeCell ref="G104:O104"/>
    <mergeCell ref="D106:P106"/>
    <mergeCell ref="D105:O105"/>
    <mergeCell ref="D128:P128"/>
    <mergeCell ref="G148:O148"/>
    <mergeCell ref="E151:O151"/>
    <mergeCell ref="E152:O152"/>
    <mergeCell ref="D150:P150"/>
    <mergeCell ref="D149:O149"/>
    <mergeCell ref="E129:O129"/>
    <mergeCell ref="E130:O130"/>
    <mergeCell ref="E131:O131"/>
    <mergeCell ref="D13:P13"/>
    <mergeCell ref="D14:P14"/>
    <mergeCell ref="D36:P36"/>
    <mergeCell ref="D35:O35"/>
    <mergeCell ref="D58:O58"/>
    <mergeCell ref="D60:O60"/>
    <mergeCell ref="D61:P61"/>
    <mergeCell ref="D84:P84"/>
    <mergeCell ref="D83:O83"/>
    <mergeCell ref="E38:O38"/>
    <mergeCell ref="E39:O39"/>
    <mergeCell ref="E40:O40"/>
    <mergeCell ref="G56:O56"/>
    <mergeCell ref="E62:O62"/>
    <mergeCell ref="E63:O63"/>
    <mergeCell ref="E64:O64"/>
    <mergeCell ref="D42:O42"/>
    <mergeCell ref="E87:O87"/>
    <mergeCell ref="E65:O65"/>
    <mergeCell ref="D68:O68"/>
    <mergeCell ref="M66:P66"/>
    <mergeCell ref="G82:O82"/>
    <mergeCell ref="E37:O37"/>
    <mergeCell ref="E153:O153"/>
    <mergeCell ref="E154:O154"/>
    <mergeCell ref="D156:O156"/>
    <mergeCell ref="E132:O132"/>
    <mergeCell ref="D134:O134"/>
    <mergeCell ref="D112:O112"/>
    <mergeCell ref="G126:O126"/>
    <mergeCell ref="D127:O127"/>
    <mergeCell ref="E107:O107"/>
    <mergeCell ref="E108:O108"/>
    <mergeCell ref="E109:O109"/>
    <mergeCell ref="E110:O110"/>
    <mergeCell ref="E85:O85"/>
    <mergeCell ref="E86:O86"/>
    <mergeCell ref="D234:O234"/>
    <mergeCell ref="G228:O228"/>
    <mergeCell ref="E330:O330"/>
    <mergeCell ref="D332:O332"/>
    <mergeCell ref="D347:O347"/>
    <mergeCell ref="D348:P348"/>
    <mergeCell ref="E349:O349"/>
    <mergeCell ref="E304:O304"/>
    <mergeCell ref="E305:O305"/>
    <mergeCell ref="D307:O307"/>
    <mergeCell ref="D322:O322"/>
    <mergeCell ref="D279:P279"/>
    <mergeCell ref="E280:O280"/>
    <mergeCell ref="E281:O281"/>
    <mergeCell ref="E282:O282"/>
    <mergeCell ref="E283:O283"/>
    <mergeCell ref="D285:O285"/>
    <mergeCell ref="D300:O300"/>
    <mergeCell ref="D301:P301"/>
    <mergeCell ref="E323:P323"/>
    <mergeCell ref="D192:O192"/>
    <mergeCell ref="G206:O206"/>
    <mergeCell ref="E210:O210"/>
    <mergeCell ref="E211:O211"/>
    <mergeCell ref="E212:O212"/>
    <mergeCell ref="D214:O214"/>
    <mergeCell ref="D207:O207"/>
    <mergeCell ref="D208:P208"/>
    <mergeCell ref="E209:O209"/>
    <mergeCell ref="G170:O170"/>
    <mergeCell ref="D185:O185"/>
    <mergeCell ref="D186:P186"/>
    <mergeCell ref="E187:O187"/>
    <mergeCell ref="E188:O188"/>
    <mergeCell ref="E189:O189"/>
    <mergeCell ref="E555:O555"/>
    <mergeCell ref="D557:O557"/>
    <mergeCell ref="D177:O177"/>
    <mergeCell ref="D174:O174"/>
    <mergeCell ref="D171:O171"/>
    <mergeCell ref="E374:O374"/>
    <mergeCell ref="D376:O376"/>
    <mergeCell ref="D391:O391"/>
    <mergeCell ref="D392:P392"/>
    <mergeCell ref="E393:O393"/>
    <mergeCell ref="E394:O394"/>
    <mergeCell ref="E395:O395"/>
    <mergeCell ref="E396:O396"/>
    <mergeCell ref="D398:O398"/>
    <mergeCell ref="D413:O413"/>
    <mergeCell ref="D414:P414"/>
    <mergeCell ref="E415:O415"/>
    <mergeCell ref="E190:O190"/>
    <mergeCell ref="E601:O601"/>
    <mergeCell ref="D506:O506"/>
    <mergeCell ref="D507:P507"/>
    <mergeCell ref="E508:O508"/>
    <mergeCell ref="E509:O509"/>
    <mergeCell ref="E510:O510"/>
    <mergeCell ref="E511:O511"/>
    <mergeCell ref="D513:O513"/>
    <mergeCell ref="D528:O528"/>
    <mergeCell ref="D529:P529"/>
    <mergeCell ref="E530:O530"/>
    <mergeCell ref="E531:O531"/>
    <mergeCell ref="E532:O532"/>
    <mergeCell ref="E533:O533"/>
    <mergeCell ref="D535:O535"/>
    <mergeCell ref="D550:O550"/>
    <mergeCell ref="D551:P551"/>
    <mergeCell ref="E552:O552"/>
    <mergeCell ref="E553:O553"/>
    <mergeCell ref="E554:O554"/>
    <mergeCell ref="D572:O572"/>
    <mergeCell ref="B927:B928"/>
    <mergeCell ref="E645:O645"/>
    <mergeCell ref="E646:O646"/>
    <mergeCell ref="E647:O647"/>
    <mergeCell ref="E648:O648"/>
    <mergeCell ref="D650:O650"/>
    <mergeCell ref="M172:P172"/>
    <mergeCell ref="M175:P175"/>
    <mergeCell ref="M178:P178"/>
    <mergeCell ref="E602:O602"/>
    <mergeCell ref="E604:O604"/>
    <mergeCell ref="D606:O606"/>
    <mergeCell ref="D621:O621"/>
    <mergeCell ref="D622:P622"/>
    <mergeCell ref="E624:O624"/>
    <mergeCell ref="D628:O628"/>
    <mergeCell ref="D643:O643"/>
    <mergeCell ref="D644:P644"/>
    <mergeCell ref="D573:P573"/>
    <mergeCell ref="E574:O574"/>
    <mergeCell ref="E575:O575"/>
    <mergeCell ref="E576:O576"/>
    <mergeCell ref="D599:O599"/>
    <mergeCell ref="D600:P600"/>
  </mergeCells>
  <phoneticPr fontId="27" type="noConversion"/>
  <conditionalFormatting sqref="B323:E323 Q323:R323">
    <cfRule type="expression" dxfId="147" priority="224">
      <formula>$R$322&lt;&gt;"Yes"</formula>
    </cfRule>
  </conditionalFormatting>
  <conditionalFormatting sqref="B13:R33">
    <cfRule type="expression" dxfId="146" priority="10">
      <formula>PR.50&lt;&gt;"Yes"</formula>
    </cfRule>
  </conditionalFormatting>
  <conditionalFormatting sqref="B35:R55">
    <cfRule type="expression" dxfId="145" priority="32">
      <formula>PR.50&lt;&gt;"Yes"</formula>
    </cfRule>
  </conditionalFormatting>
  <conditionalFormatting sqref="B58:R58">
    <cfRule type="expression" dxfId="144" priority="284">
      <formula>PR.50&lt;&gt;"Yes"</formula>
    </cfRule>
  </conditionalFormatting>
  <conditionalFormatting sqref="B60:R82">
    <cfRule type="expression" dxfId="143" priority="295">
      <formula>PR.50&lt;&gt;"Yes"</formula>
    </cfRule>
  </conditionalFormatting>
  <conditionalFormatting sqref="B83:R104">
    <cfRule type="expression" dxfId="142" priority="37">
      <formula>PR.27&lt;=0</formula>
    </cfRule>
  </conditionalFormatting>
  <conditionalFormatting sqref="B172:R172">
    <cfRule type="expression" dxfId="141" priority="136">
      <formula>OR($R$171="No",$R$171="Not Applicable",$R$171="")</formula>
    </cfRule>
  </conditionalFormatting>
  <conditionalFormatting sqref="B175:R175">
    <cfRule type="expression" dxfId="140" priority="135">
      <formula>OR($R$174="No",$R$174="Not Applicable",$R$174="")</formula>
    </cfRule>
  </conditionalFormatting>
  <conditionalFormatting sqref="B178:R178">
    <cfRule type="expression" dxfId="139" priority="134">
      <formula>OR($R$177="No",$R$177="Not Applicable",$R$177="")</formula>
    </cfRule>
  </conditionalFormatting>
  <conditionalFormatting sqref="B185:R205">
    <cfRule type="expression" dxfId="138" priority="249">
      <formula>CR.50&lt;=0</formula>
    </cfRule>
  </conditionalFormatting>
  <conditionalFormatting sqref="B207:R227">
    <cfRule type="expression" dxfId="137" priority="271">
      <formula>CR.51&lt;=0</formula>
    </cfRule>
  </conditionalFormatting>
  <conditionalFormatting sqref="B234:R254">
    <cfRule type="expression" dxfId="136" priority="264">
      <formula>AND(PR.82.1&lt;&gt;"Yes",PR.82.2&lt;&gt;"Yes",PR.82.3&lt;&gt;"Yes",PR.82.4&lt;&gt;"Yes",PR.82.5&lt;&gt;"Yes",PR.82.6&lt;&gt;"Yes")</formula>
    </cfRule>
  </conditionalFormatting>
  <conditionalFormatting sqref="B256:R276">
    <cfRule type="expression" dxfId="135" priority="242">
      <formula>CR.62&lt;=0</formula>
    </cfRule>
  </conditionalFormatting>
  <conditionalFormatting sqref="B278:R298">
    <cfRule type="expression" dxfId="134" priority="227">
      <formula>CR.63&lt;=0</formula>
    </cfRule>
  </conditionalFormatting>
  <conditionalFormatting sqref="B300:R320 Q323:R323">
    <cfRule type="expression" dxfId="133" priority="234">
      <formula>AND(PR.133&lt;&gt;"Yes",PR.133&lt;&gt;"No")</formula>
    </cfRule>
  </conditionalFormatting>
  <conditionalFormatting sqref="B322:R322 B323:E323">
    <cfRule type="expression" dxfId="132" priority="223">
      <formula>AND(PR.133&lt;&gt;"Yes",PR.133&lt;&gt;"No")</formula>
    </cfRule>
  </conditionalFormatting>
  <conditionalFormatting sqref="B325:R345">
    <cfRule type="expression" dxfId="131" priority="221">
      <formula>CR.55&lt;=0</formula>
    </cfRule>
  </conditionalFormatting>
  <conditionalFormatting sqref="B347:R367">
    <cfRule type="expression" dxfId="130" priority="219">
      <formula>CR.56&lt;=0</formula>
    </cfRule>
  </conditionalFormatting>
  <conditionalFormatting sqref="B369:R389">
    <cfRule type="expression" dxfId="129" priority="217">
      <formula>PR.93&lt;=0</formula>
    </cfRule>
  </conditionalFormatting>
  <conditionalFormatting sqref="B391:R411">
    <cfRule type="expression" dxfId="128" priority="215">
      <formula>PR.98&lt;=0</formula>
    </cfRule>
  </conditionalFormatting>
  <conditionalFormatting sqref="B413:R433">
    <cfRule type="expression" dxfId="127" priority="213">
      <formula>PR.100&lt;=0</formula>
    </cfRule>
  </conditionalFormatting>
  <conditionalFormatting sqref="B435:R455">
    <cfRule type="expression" dxfId="126" priority="211">
      <formula>PR.116&lt;&gt;"Yes"</formula>
    </cfRule>
  </conditionalFormatting>
  <conditionalFormatting sqref="B457:R477">
    <cfRule type="expression" dxfId="125" priority="209">
      <formula>CR.60&lt;=0</formula>
    </cfRule>
  </conditionalFormatting>
  <conditionalFormatting sqref="B479:R499">
    <cfRule type="expression" dxfId="124" priority="206">
      <formula>PR.49&lt;=0</formula>
    </cfRule>
  </conditionalFormatting>
  <conditionalFormatting sqref="B506:R526">
    <cfRule type="expression" dxfId="123" priority="200">
      <formula>CR.71&lt;=0</formula>
    </cfRule>
  </conditionalFormatting>
  <conditionalFormatting sqref="B528:R548">
    <cfRule type="expression" dxfId="122" priority="195">
      <formula>CR.72&lt;=0</formula>
    </cfRule>
  </conditionalFormatting>
  <conditionalFormatting sqref="B550:R570">
    <cfRule type="expression" dxfId="121" priority="190">
      <formula>PR.28&lt;=0</formula>
    </cfRule>
  </conditionalFormatting>
  <conditionalFormatting sqref="B572:R592">
    <cfRule type="expression" dxfId="120" priority="185">
      <formula>PR.28&lt;=0</formula>
    </cfRule>
  </conditionalFormatting>
  <conditionalFormatting sqref="B599:R619">
    <cfRule type="expression" dxfId="119" priority="177">
      <formula>CR.68&lt;=0</formula>
    </cfRule>
  </conditionalFormatting>
  <conditionalFormatting sqref="B621:R641">
    <cfRule type="expression" dxfId="118" priority="172">
      <formula>CR.69&lt;=0</formula>
    </cfRule>
  </conditionalFormatting>
  <conditionalFormatting sqref="B643:R663">
    <cfRule type="expression" dxfId="117" priority="167">
      <formula>Guarantees&lt;&gt;"Yes"</formula>
    </cfRule>
  </conditionalFormatting>
  <conditionalFormatting sqref="B670:R670">
    <cfRule type="expression" dxfId="116" priority="8">
      <formula>AND(CR.29&lt;=0,CR.32&lt;=0,CR.35&lt;=0,CR.41&lt;=0)</formula>
    </cfRule>
  </conditionalFormatting>
  <conditionalFormatting sqref="B671:R691">
    <cfRule type="expression" dxfId="115" priority="7">
      <formula>CR.29&lt;=0</formula>
    </cfRule>
  </conditionalFormatting>
  <conditionalFormatting sqref="B693:R713">
    <cfRule type="expression" dxfId="114" priority="5">
      <formula>CR.32&lt;=0</formula>
    </cfRule>
  </conditionalFormatting>
  <conditionalFormatting sqref="B715:R735">
    <cfRule type="expression" dxfId="113" priority="3">
      <formula>CR.35&lt;=0</formula>
    </cfRule>
  </conditionalFormatting>
  <conditionalFormatting sqref="B737:R757">
    <cfRule type="expression" dxfId="112" priority="1">
      <formula>CR.41&lt;=0</formula>
    </cfRule>
  </conditionalFormatting>
  <conditionalFormatting sqref="B759:R759">
    <cfRule type="expression" dxfId="111" priority="60">
      <formula>AND(CR.30&lt;=0,CR.33&lt;=0,CR.36&lt;=0,CR.42&lt;=0)</formula>
    </cfRule>
  </conditionalFormatting>
  <conditionalFormatting sqref="B760:R780">
    <cfRule type="expression" dxfId="110" priority="56">
      <formula>CR.30&lt;=0</formula>
    </cfRule>
  </conditionalFormatting>
  <conditionalFormatting sqref="B782:R802">
    <cfRule type="expression" dxfId="109" priority="51">
      <formula>CR.33&lt;=0</formula>
    </cfRule>
  </conditionalFormatting>
  <conditionalFormatting sqref="B804:R824">
    <cfRule type="expression" dxfId="108" priority="46">
      <formula>CR.36&lt;=0</formula>
    </cfRule>
  </conditionalFormatting>
  <conditionalFormatting sqref="B826:R846">
    <cfRule type="expression" dxfId="107" priority="41">
      <formula>CR.42&lt;=0</formula>
    </cfRule>
  </conditionalFormatting>
  <conditionalFormatting sqref="B853:R873">
    <cfRule type="expression" dxfId="106" priority="120">
      <formula>CR.74&lt;=0</formula>
    </cfRule>
  </conditionalFormatting>
  <conditionalFormatting sqref="B875:R895">
    <cfRule type="expression" dxfId="105" priority="115">
      <formula>CR.75&lt;=0</formula>
    </cfRule>
  </conditionalFormatting>
  <conditionalFormatting sqref="B902:R922">
    <cfRule type="expression" dxfId="104" priority="110">
      <formula>CR.76&lt;=0</formula>
    </cfRule>
  </conditionalFormatting>
  <conditionalFormatting sqref="B930:R950">
    <cfRule type="expression" dxfId="103" priority="105">
      <formula>CR.78&lt;=0</formula>
    </cfRule>
  </conditionalFormatting>
  <conditionalFormatting sqref="B952:R972">
    <cfRule type="expression" dxfId="102" priority="100">
      <formula>CR.79&lt;=0</formula>
    </cfRule>
  </conditionalFormatting>
  <conditionalFormatting sqref="B979:R999">
    <cfRule type="expression" dxfId="101" priority="95">
      <formula>CR.47&lt;=0</formula>
    </cfRule>
  </conditionalFormatting>
  <conditionalFormatting sqref="B1001:R1021">
    <cfRule type="expression" dxfId="100" priority="90">
      <formula>CR.48&lt;=0</formula>
    </cfRule>
  </conditionalFormatting>
  <conditionalFormatting sqref="C20:O33">
    <cfRule type="expression" dxfId="99" priority="347">
      <formula>$R$18&lt;=0</formula>
    </cfRule>
  </conditionalFormatting>
  <conditionalFormatting sqref="C42:O55">
    <cfRule type="expression" dxfId="98" priority="331">
      <formula>$R$40&lt;=0</formula>
    </cfRule>
  </conditionalFormatting>
  <conditionalFormatting sqref="C68:O81">
    <cfRule type="expression" dxfId="97" priority="306">
      <formula>$R$65&lt;=0</formula>
    </cfRule>
  </conditionalFormatting>
  <conditionalFormatting sqref="C90:O103">
    <cfRule type="expression" dxfId="96" priority="33">
      <formula>$R$88&lt;=0</formula>
    </cfRule>
  </conditionalFormatting>
  <conditionalFormatting sqref="C112:O119 C120:K123 C124:O125">
    <cfRule type="expression" dxfId="95" priority="294">
      <formula>$R$110&lt;=0</formula>
    </cfRule>
  </conditionalFormatting>
  <conditionalFormatting sqref="C134:O141 C142:K145 C146:O147">
    <cfRule type="expression" dxfId="94" priority="292">
      <formula>$R$132&lt;=0</formula>
    </cfRule>
  </conditionalFormatting>
  <conditionalFormatting sqref="C192:O205">
    <cfRule type="expression" dxfId="93" priority="256">
      <formula>$R$190&lt;=0</formula>
    </cfRule>
  </conditionalFormatting>
  <conditionalFormatting sqref="C214:O227">
    <cfRule type="expression" dxfId="92" priority="272">
      <formula>$R$212&lt;=0</formula>
    </cfRule>
  </conditionalFormatting>
  <conditionalFormatting sqref="C241:O254">
    <cfRule type="expression" dxfId="91" priority="263">
      <formula>$R$239&lt;&gt;"Yes"</formula>
    </cfRule>
  </conditionalFormatting>
  <conditionalFormatting sqref="C263:O276">
    <cfRule type="expression" dxfId="90" priority="243">
      <formula>$R$261&lt;=0</formula>
    </cfRule>
  </conditionalFormatting>
  <conditionalFormatting sqref="C285:O298">
    <cfRule type="expression" dxfId="89" priority="226">
      <formula>$R$283&lt;=0</formula>
    </cfRule>
  </conditionalFormatting>
  <conditionalFormatting sqref="C307:O320">
    <cfRule type="expression" dxfId="88" priority="222">
      <formula>$R$305&lt;=0</formula>
    </cfRule>
  </conditionalFormatting>
  <conditionalFormatting sqref="C332:O345">
    <cfRule type="expression" dxfId="87" priority="235">
      <formula>$R$330&lt;=0</formula>
    </cfRule>
  </conditionalFormatting>
  <conditionalFormatting sqref="C354:O367">
    <cfRule type="expression" dxfId="86" priority="220">
      <formula>$R$352&lt;=0</formula>
    </cfRule>
  </conditionalFormatting>
  <conditionalFormatting sqref="C376:O389">
    <cfRule type="expression" dxfId="85" priority="218">
      <formula>$R$374&lt;=0</formula>
    </cfRule>
  </conditionalFormatting>
  <conditionalFormatting sqref="C398:O411">
    <cfRule type="expression" dxfId="84" priority="216">
      <formula>$R$396&lt;=0</formula>
    </cfRule>
  </conditionalFormatting>
  <conditionalFormatting sqref="C420:O433">
    <cfRule type="expression" dxfId="83" priority="214">
      <formula>$R$418&lt;=0</formula>
    </cfRule>
  </conditionalFormatting>
  <conditionalFormatting sqref="C442:O455">
    <cfRule type="expression" dxfId="82" priority="212">
      <formula>$R$440&lt;=0</formula>
    </cfRule>
  </conditionalFormatting>
  <conditionalFormatting sqref="C464:O477">
    <cfRule type="expression" dxfId="81" priority="210">
      <formula>$R$462&lt;=0</formula>
    </cfRule>
  </conditionalFormatting>
  <conditionalFormatting sqref="C486:O499">
    <cfRule type="expression" dxfId="80" priority="205">
      <formula>$R$484&lt;&gt;"Yes"</formula>
    </cfRule>
  </conditionalFormatting>
  <conditionalFormatting sqref="C513:O526">
    <cfRule type="expression" dxfId="79" priority="201">
      <formula>$R$511&lt;=0</formula>
    </cfRule>
  </conditionalFormatting>
  <conditionalFormatting sqref="C535:O548">
    <cfRule type="expression" dxfId="78" priority="196">
      <formula>$R$533&lt;=0</formula>
    </cfRule>
  </conditionalFormatting>
  <conditionalFormatting sqref="C557:O570">
    <cfRule type="expression" dxfId="77" priority="191">
      <formula>$R$555&lt;=0</formula>
    </cfRule>
  </conditionalFormatting>
  <conditionalFormatting sqref="C579:O592">
    <cfRule type="expression" dxfId="76" priority="186">
      <formula>$R$577&lt;=0</formula>
    </cfRule>
  </conditionalFormatting>
  <conditionalFormatting sqref="C606:O619">
    <cfRule type="expression" dxfId="75" priority="178">
      <formula>$R$604&lt;=0</formula>
    </cfRule>
  </conditionalFormatting>
  <conditionalFormatting sqref="C628:O641">
    <cfRule type="expression" dxfId="74" priority="173">
      <formula>$R$626&lt;=0</formula>
    </cfRule>
  </conditionalFormatting>
  <conditionalFormatting sqref="C650:O663">
    <cfRule type="expression" dxfId="73" priority="168">
      <formula>$R$648&lt;=0</formula>
    </cfRule>
  </conditionalFormatting>
  <conditionalFormatting sqref="C678:O691">
    <cfRule type="expression" dxfId="72" priority="9">
      <formula>$R$676&lt;=0</formula>
    </cfRule>
  </conditionalFormatting>
  <conditionalFormatting sqref="C700:O713">
    <cfRule type="expression" dxfId="71" priority="6">
      <formula>$R$698&lt;=0</formula>
    </cfRule>
  </conditionalFormatting>
  <conditionalFormatting sqref="C722:O735">
    <cfRule type="expression" dxfId="70" priority="4">
      <formula>$R$720&lt;=0</formula>
    </cfRule>
  </conditionalFormatting>
  <conditionalFormatting sqref="C744:O757">
    <cfRule type="expression" dxfId="69" priority="2">
      <formula>$R$742&lt;=0</formula>
    </cfRule>
  </conditionalFormatting>
  <conditionalFormatting sqref="C767:O780">
    <cfRule type="expression" dxfId="68" priority="61">
      <formula>$R$765&lt;=0</formula>
    </cfRule>
  </conditionalFormatting>
  <conditionalFormatting sqref="C789:O802">
    <cfRule type="expression" dxfId="67" priority="55">
      <formula>$R$787&lt;=0</formula>
    </cfRule>
  </conditionalFormatting>
  <conditionalFormatting sqref="C811:O824">
    <cfRule type="expression" dxfId="66" priority="50">
      <formula>$R$809&lt;=0</formula>
    </cfRule>
  </conditionalFormatting>
  <conditionalFormatting sqref="C833:O846">
    <cfRule type="expression" dxfId="65" priority="45">
      <formula>$R$831&lt;=0</formula>
    </cfRule>
  </conditionalFormatting>
  <conditionalFormatting sqref="C860:O873">
    <cfRule type="expression" dxfId="64" priority="121">
      <formula>$R$858&lt;=0</formula>
    </cfRule>
  </conditionalFormatting>
  <conditionalFormatting sqref="C909:O922">
    <cfRule type="expression" dxfId="63" priority="111">
      <formula>$R$907&lt;=0</formula>
    </cfRule>
  </conditionalFormatting>
  <conditionalFormatting sqref="C937:O950">
    <cfRule type="expression" dxfId="62" priority="106">
      <formula>$R$935&lt;=0</formula>
    </cfRule>
  </conditionalFormatting>
  <conditionalFormatting sqref="C959:O972">
    <cfRule type="expression" dxfId="61" priority="101">
      <formula>$R$957&lt;=0</formula>
    </cfRule>
  </conditionalFormatting>
  <conditionalFormatting sqref="C986:O999">
    <cfRule type="expression" dxfId="60" priority="96">
      <formula>$R$984&lt;=0</formula>
    </cfRule>
  </conditionalFormatting>
  <conditionalFormatting sqref="C1008:O1021">
    <cfRule type="expression" dxfId="59" priority="91">
      <formula>$R$1006&lt;=0</formula>
    </cfRule>
  </conditionalFormatting>
  <conditionalFormatting sqref="D156:O163 D164:K167 D168:O169">
    <cfRule type="expression" dxfId="58" priority="291">
      <formula>$R$154&lt;=0</formula>
    </cfRule>
  </conditionalFormatting>
  <conditionalFormatting sqref="D882:O895">
    <cfRule type="expression" dxfId="57" priority="116">
      <formula>$R$880&lt;=0</formula>
    </cfRule>
  </conditionalFormatting>
  <conditionalFormatting sqref="T1:T1048576">
    <cfRule type="cellIs" dxfId="56" priority="13" operator="equal">
      <formula>"G"</formula>
    </cfRule>
    <cfRule type="cellIs" dxfId="55" priority="12" operator="equal">
      <formula>"R"</formula>
    </cfRule>
    <cfRule type="cellIs" dxfId="54" priority="11" operator="equal">
      <formula>"Y"</formula>
    </cfRule>
  </conditionalFormatting>
  <dataValidations xWindow="541" yWindow="682" count="8">
    <dataValidation type="whole" operator="greaterThanOrEqual" allowBlank="1" showInputMessage="1" showErrorMessage="1" error="Kindly input a whole number _x000a_greater than or equal to 0" prompt="Kindly input a whole number greater than or equal to 0" sqref="R954:R957 R932:R935 R1003:R1006 R15:R18 R37:R40 R85:R88 R107:R110 R129:R132 R151:R154 R187:R190 R209:R212 R258:R261 R280:R283 R327:R330 R349:R352 R437:R440 R459:R462 R508:R511 R530:R533 R601:R604 R623:R626 R645:R648 R762:R765 R784:R787 R806:R809 R828:R831 R855:R858 R877:R880 R904:R907 R981:R984 R673:R676 R695:R698 R717:R720 R739:R742" xr:uid="{51BBD41D-CFF8-4D2E-8D6B-7CD8D4D90536}">
      <formula1>0</formula1>
    </dataValidation>
    <dataValidation allowBlank="1" showInputMessage="1" showErrorMessage="1" prompt="This means that the user made use of formulas in the sheet which resulted in an error message. Kindly make sure that these issues are addressed before submitting the template." sqref="R6" xr:uid="{96E53501-1893-4E69-8F24-E8165F964809}"/>
    <dataValidation type="whole" operator="greaterThanOrEqual" allowBlank="1" showInputMessage="1" showErrorMessage="1" error="Kindly input a whole number _x000a_greater than or equal to 0" prompt="Please include an answer in these 4 cells or choose &quot;Not Available&quot; in the cell below. The 4 fields should remain blank if one is opting for &quot;Not Available&quot;." sqref="R62:R65" xr:uid="{62FD1194-72D8-492F-AD48-0C19A60886C7}">
      <formula1>0</formula1>
    </dataValidation>
    <dataValidation type="decimal" operator="greaterThanOrEqual" allowBlank="1" showInputMessage="1" showErrorMessage="1" error="Kindly input a value_x000a_greater than or equal to 0" sqref="R552:R555 R574:R577" xr:uid="{169C66D6-64D1-43F7-BCBE-52A3C1CFF06E}">
      <formula1>0</formula1>
    </dataValidation>
    <dataValidation type="decimal" operator="greaterThanOrEqual" allowBlank="1" showInputMessage="1" showErrorMessage="1" error="Kindly input a value _x000a_greater than or equal to 0" prompt="Please input a number greater or equal to 0." sqref="G558:G570 K558:K570 O558:O564 G580:G592 K580:K592 O580:O586" xr:uid="{5572BCCA-75D3-4010-A3AC-D6D8F244D464}">
      <formula1>0</formula1>
    </dataValidation>
    <dataValidation type="decimal" operator="greaterThanOrEqual" allowBlank="1" showInputMessage="1" showErrorMessage="1" error="Kindly input a value greater than or equal to 0" prompt="Please input a number greater or equal to 0." sqref="O308:O314 K377:K389 G377:G389 G399:G411 K399:K411 O377:O383 G421:G433 K421:K433 O399:O405 G308:G320 K308:K320 O421:O427" xr:uid="{933E72BF-26A8-48CD-9C46-45A616933D6F}">
      <formula1>0</formula1>
    </dataValidation>
    <dataValidation type="decimal" operator="greaterThanOrEqual" allowBlank="1" showInputMessage="1" showErrorMessage="1" error="Kindly input a value greater than or equal to 0" sqref="R371:R374 R393:R396 R415:R418 R302:R305" xr:uid="{CEEFE79B-B026-47D3-8449-D2086D60F5E8}">
      <formula1>0</formula1>
    </dataValidation>
    <dataValidation type="whole" operator="greaterThanOrEqual" allowBlank="1" showInputMessage="1" showErrorMessage="1" error="Kindly input a whole number _x000a_greater than or equal to 0" prompt="Please input a whole number greater or equal to 0." sqref="G1009:G1021 K1009:K1021 O987:O993 K987:K999 G43:G55 O960:O966 G960:G972 K960:K972 O938:O944 G938:G950 K938:K950 O910:O916 G910:G922 K910:K922 O883:O889 G883:G895 K883:K895 O861:O867 G861:G873 K861:K873 O834:O840 G834:G846 K834:K846 O812:O818 G812:G824 K812:K824 O790:O796 G790:G802 K790:K802 O768:O774 G768:G780 K768:K780 O745:O751 G651:G663 K651:K663 O629:O635 K21:K33 G987:G999 G21:G33 O69:O75 K43:K55 O21:O27 G69:G81 K69:K81 O43:O49 G113:G125 K113:K125 O91:O97 G135:G147 K135:K147 O113:O119 G157:G169 K157:K169 O135:O141 G193:G205 K193:K205 O157:O163 G215:G227 K215:K227 O193:O199 G264:G276 K264:K276 O215:O221 G286:G298 K286:K298 O264:O270 G333:G345 K333:K345 O286:O292 G355:G367 K355:K367 O333:O339 G443:G455 K443:K455 O355:O361 G465:G477 K465:K477 O443:O449 G514:G526 K514:K526 O465:O471 G536:G548 K536:K548 O514:O520 G607:G619 K607:K619 O536:O542 G629:G641 K629:K641 O607:O613 G91:G103 K91:K103 O651:O657 G745:G757 K745:K757 O723:O729 G723:G735 K723:K735 O701:O707 G701:G713 K701:K713 O679:O685 G679:G691 K679:K691 O1009:O1015" xr:uid="{64D17B7C-DEC0-4524-8148-3B5FD3208692}">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541" yWindow="682" count="7">
        <x14:dataValidation type="list" allowBlank="1" showInputMessage="1" showErrorMessage="1" xr:uid="{BBB39A06-CB98-490A-89A9-DD899F97825F}">
          <x14:formula1>
            <xm:f>List_2!$AU$2:$AU$12</xm:f>
          </x14:formula1>
          <xm:sqref>R58</xm:sqref>
        </x14:dataValidation>
        <x14:dataValidation type="list" allowBlank="1" showInputMessage="1" showErrorMessage="1" prompt="Please include &quot;Not Available&quot; in this cell or fill in the answer in the cells above. Field should remain blank if one is including answers above." xr:uid="{435824D5-1A72-4442-A82E-58E05459BB61}">
          <x14:formula1>
            <xm:f>List_2!$F$2:$F$100000</xm:f>
          </x14:formula1>
          <xm:sqref>R66</xm:sqref>
        </x14:dataValidation>
        <x14:dataValidation type="list" allowBlank="1" showInputMessage="1" showErrorMessage="1" xr:uid="{6443ABEF-DA2F-427E-84DE-8A40948BF749}">
          <x14:formula1>
            <xm:f>List_2!$C$2:$C$3</xm:f>
          </x14:formula1>
          <xm:sqref>R322</xm:sqref>
        </x14:dataValidation>
        <x14:dataValidation type="list" allowBlank="1" showInputMessage="1" showErrorMessage="1" prompt="Please answer with either a “Yes” or “No”. Empty answers are not allowed." xr:uid="{6E86E8D8-7C56-4586-9D68-1E693157CDA6}">
          <x14:formula1>
            <xm:f>List_2!$C$2:$C$3</xm:f>
          </x14:formula1>
          <xm:sqref>R236:R239 R481:R484 K494</xm:sqref>
        </x14:dataValidation>
        <x14:dataValidation type="list" allowBlank="1" showInputMessage="1" showErrorMessage="1" xr:uid="{FD126187-3461-415C-8C66-B50B63F55465}">
          <x14:formula1>
            <xm:f>List_2!$AV$2:$AV$100000</xm:f>
          </x14:formula1>
          <xm:sqref>R177 R174 R171</xm:sqref>
        </x14:dataValidation>
        <x14:dataValidation type="list" allowBlank="1" showInputMessage="1" showErrorMessage="1" xr:uid="{51697B9B-2633-4D52-9938-17E6CD574618}">
          <x14:formula1>
            <xm:f>List_2!$AW$2:$AW$100000</xm:f>
          </x14:formula1>
          <xm:sqref>R172 R178 R175</xm:sqref>
        </x14:dataValidation>
        <x14:dataValidation type="list" allowBlank="1" showInputMessage="1" showErrorMessage="1" prompt="Please answer with a “Yes”, “No” or leave the field empty." xr:uid="{81398D94-81CF-4AD1-B7D5-C2B9267323BD}">
          <x14:formula1>
            <xm:f>List_2!$C$2:$C$3</xm:f>
          </x14:formula1>
          <xm:sqref>G242:G254 K242:K254 O487:O493 G487:G499 O242:O248 K487:K493 K495:K499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C3501-E8E0-44B6-8BA1-DB4FAB847576}">
  <sheetPr codeName="Sheet10">
    <tabColor rgb="FF002B96"/>
  </sheetPr>
  <dimension ref="A1:AC51"/>
  <sheetViews>
    <sheetView zoomScaleNormal="100" workbookViewId="0"/>
  </sheetViews>
  <sheetFormatPr defaultColWidth="0" defaultRowHeight="15" zeroHeight="1" x14ac:dyDescent="0.25"/>
  <cols>
    <col min="1" max="1" width="2" style="10" customWidth="1"/>
    <col min="2" max="2" width="14.28515625" style="15" customWidth="1"/>
    <col min="3" max="3" width="1.140625" style="15" customWidth="1"/>
    <col min="4" max="4" width="4.7109375" style="34" customWidth="1"/>
    <col min="5" max="5" width="19.42578125" style="34" customWidth="1"/>
    <col min="6" max="6" width="0.5703125" style="34" customWidth="1"/>
    <col min="7" max="7" width="18.7109375" style="34" customWidth="1"/>
    <col min="8" max="8" width="1.140625" style="34" customWidth="1"/>
    <col min="9" max="9" width="4.7109375" style="34" customWidth="1"/>
    <col min="10" max="10" width="19.42578125" style="34" customWidth="1"/>
    <col min="11" max="11" width="18.7109375" style="34" customWidth="1"/>
    <col min="12" max="12" width="1.140625" style="34" customWidth="1"/>
    <col min="13" max="13" width="4.7109375" style="34" customWidth="1"/>
    <col min="14" max="14" width="19.42578125" style="34" customWidth="1"/>
    <col min="15" max="15" width="18.7109375" style="34" customWidth="1"/>
    <col min="16" max="16" width="9.140625" style="34" customWidth="1"/>
    <col min="17" max="17" width="0.5703125" style="10" customWidth="1"/>
    <col min="18" max="18" width="39.28515625" style="26" bestFit="1" customWidth="1"/>
    <col min="19" max="19" width="0.7109375" style="10" customWidth="1"/>
    <col min="20" max="20" width="2.7109375" style="10" customWidth="1"/>
    <col min="21" max="21" width="0.5703125" style="22" customWidth="1"/>
    <col min="22" max="29" width="0" style="10" hidden="1" customWidth="1"/>
    <col min="30" max="16384" width="9.140625" style="10" hidden="1"/>
  </cols>
  <sheetData>
    <row r="1" spans="1:20" ht="15.75" x14ac:dyDescent="0.25">
      <c r="A1" s="6"/>
      <c r="B1" s="19"/>
      <c r="C1" s="19"/>
      <c r="D1" s="20"/>
      <c r="E1" s="20"/>
      <c r="F1" s="20"/>
      <c r="G1" s="20"/>
      <c r="H1" s="20"/>
      <c r="I1" s="20"/>
      <c r="J1" s="20"/>
      <c r="K1" s="20"/>
      <c r="L1" s="20"/>
      <c r="M1" s="20"/>
      <c r="N1" s="20"/>
      <c r="O1" s="20"/>
      <c r="P1" s="20"/>
      <c r="Q1" s="7"/>
      <c r="R1" s="14"/>
      <c r="S1" s="8"/>
      <c r="T1" s="8"/>
    </row>
    <row r="2" spans="1:20" ht="18.75" x14ac:dyDescent="0.25">
      <c r="A2" s="8"/>
      <c r="B2" s="19"/>
      <c r="C2" s="19"/>
      <c r="D2" s="20"/>
      <c r="E2" s="180" t="s">
        <v>1056</v>
      </c>
      <c r="F2" s="180"/>
      <c r="G2" s="180"/>
      <c r="H2" s="180"/>
      <c r="I2" s="180"/>
      <c r="J2" s="180"/>
      <c r="K2" s="180"/>
      <c r="L2" s="180"/>
      <c r="M2" s="180"/>
      <c r="N2" s="180"/>
      <c r="O2" s="180"/>
      <c r="P2" s="180"/>
      <c r="Q2" s="180"/>
      <c r="R2" s="180"/>
      <c r="S2" s="8"/>
      <c r="T2" s="8"/>
    </row>
    <row r="3" spans="1:20" ht="15.75" x14ac:dyDescent="0.25">
      <c r="A3" s="8"/>
      <c r="B3" s="23"/>
      <c r="C3" s="23"/>
      <c r="D3" s="23"/>
      <c r="E3" s="20"/>
      <c r="F3" s="20"/>
      <c r="G3" s="20"/>
      <c r="H3" s="20"/>
      <c r="I3" s="20"/>
      <c r="J3" s="20"/>
      <c r="K3" s="20"/>
      <c r="L3" s="20"/>
      <c r="M3" s="20"/>
      <c r="N3" s="20"/>
      <c r="O3" s="20"/>
      <c r="P3" s="20"/>
      <c r="Q3" s="8"/>
      <c r="R3" s="24"/>
      <c r="S3" s="9" t="str">
        <f>CoverSheet!A7</f>
        <v>v:1.0</v>
      </c>
      <c r="T3" s="8"/>
    </row>
    <row r="4" spans="1:20" x14ac:dyDescent="0.25">
      <c r="D4" s="15"/>
      <c r="E4" s="15"/>
      <c r="F4" s="15"/>
      <c r="G4" s="15"/>
      <c r="H4" s="15"/>
      <c r="I4" s="15"/>
      <c r="J4" s="15"/>
      <c r="K4" s="15"/>
      <c r="L4" s="15"/>
      <c r="M4" s="15"/>
      <c r="N4" s="15"/>
      <c r="O4" s="15"/>
      <c r="P4" s="15"/>
    </row>
    <row r="5" spans="1:20" x14ac:dyDescent="0.25">
      <c r="D5" s="15"/>
      <c r="E5" s="27" t="s">
        <v>53</v>
      </c>
      <c r="F5" s="15"/>
      <c r="G5" s="28">
        <f>CoverSheet!D11</f>
        <v>0</v>
      </c>
      <c r="H5" s="15"/>
      <c r="I5" s="15"/>
      <c r="J5" s="15"/>
      <c r="K5" s="15"/>
      <c r="L5" s="15"/>
      <c r="M5" s="15"/>
      <c r="N5" s="15"/>
      <c r="O5" s="15"/>
      <c r="P5" s="15"/>
      <c r="R5" s="70" t="s">
        <v>1116</v>
      </c>
      <c r="T5" s="11" t="str">
        <f>IF(COUNTIF(T6:T51,"R")&gt;0,"R","G")</f>
        <v>R</v>
      </c>
    </row>
    <row r="6" spans="1:20" x14ac:dyDescent="0.25">
      <c r="D6" s="15"/>
      <c r="E6" s="27" t="s">
        <v>54</v>
      </c>
      <c r="F6" s="15"/>
      <c r="G6" s="15" t="str">
        <f>CoverSheet!D15</f>
        <v>01/01/2025 - 31/12/2025</v>
      </c>
      <c r="H6" s="15"/>
      <c r="I6" s="15"/>
      <c r="J6" s="15"/>
      <c r="K6" s="15"/>
      <c r="L6" s="15"/>
      <c r="M6" s="15"/>
      <c r="N6" s="15"/>
      <c r="O6" s="15"/>
      <c r="P6" s="15"/>
    </row>
    <row r="7" spans="1:20" ht="15.75" thickBot="1" x14ac:dyDescent="0.3">
      <c r="A7" s="29"/>
      <c r="B7" s="30"/>
      <c r="C7" s="30"/>
      <c r="D7" s="31"/>
      <c r="E7" s="31"/>
      <c r="F7" s="31"/>
      <c r="G7" s="31"/>
      <c r="H7" s="31"/>
      <c r="I7" s="31"/>
      <c r="J7" s="31"/>
      <c r="K7" s="31"/>
      <c r="L7" s="31"/>
      <c r="M7" s="31"/>
      <c r="N7" s="31"/>
      <c r="O7" s="31"/>
      <c r="P7" s="31"/>
      <c r="Q7" s="29"/>
      <c r="R7" s="33"/>
      <c r="S7" s="29"/>
    </row>
    <row r="8" spans="1:20" ht="15.75" thickTop="1" x14ac:dyDescent="0.25">
      <c r="B8" s="34"/>
      <c r="C8" s="34"/>
      <c r="D8" s="15"/>
      <c r="E8" s="15"/>
      <c r="F8" s="15"/>
      <c r="G8" s="15"/>
      <c r="H8" s="15"/>
      <c r="I8" s="15"/>
      <c r="J8" s="15"/>
      <c r="K8" s="15"/>
      <c r="L8" s="15"/>
      <c r="M8" s="15"/>
      <c r="N8" s="15"/>
      <c r="O8" s="15"/>
      <c r="P8" s="15"/>
      <c r="R8" s="35"/>
    </row>
    <row r="9" spans="1:20" x14ac:dyDescent="0.25">
      <c r="B9" s="46" t="s">
        <v>1049</v>
      </c>
      <c r="C9" s="46"/>
      <c r="D9" s="15"/>
      <c r="E9" s="15"/>
      <c r="F9" s="15"/>
      <c r="G9" s="15"/>
      <c r="H9" s="15"/>
      <c r="I9" s="15"/>
      <c r="J9" s="15"/>
      <c r="K9" s="15"/>
      <c r="L9" s="15"/>
      <c r="M9" s="15"/>
      <c r="N9" s="15"/>
      <c r="O9" s="15"/>
      <c r="P9" s="15"/>
    </row>
    <row r="10" spans="1:20" x14ac:dyDescent="0.25">
      <c r="B10" s="34"/>
      <c r="C10" s="34"/>
      <c r="D10" s="15"/>
      <c r="E10" s="15"/>
      <c r="F10" s="15"/>
      <c r="G10" s="15"/>
      <c r="H10" s="15"/>
      <c r="I10" s="15"/>
      <c r="J10" s="15"/>
      <c r="K10" s="15"/>
      <c r="L10" s="15"/>
      <c r="M10" s="15"/>
      <c r="N10" s="15"/>
      <c r="O10" s="15"/>
      <c r="P10" s="15"/>
      <c r="R10" s="36"/>
    </row>
    <row r="11" spans="1:20" ht="19.5" thickBot="1" x14ac:dyDescent="0.3">
      <c r="A11" s="37"/>
      <c r="B11" s="38" t="s">
        <v>55</v>
      </c>
      <c r="C11" s="38"/>
      <c r="D11" s="39" t="s">
        <v>1057</v>
      </c>
      <c r="E11" s="40"/>
      <c r="F11" s="40"/>
      <c r="G11" s="40"/>
      <c r="H11" s="40"/>
      <c r="I11" s="40"/>
      <c r="J11" s="40"/>
      <c r="K11" s="40"/>
      <c r="L11" s="40"/>
      <c r="M11" s="40"/>
      <c r="N11" s="40"/>
      <c r="O11" s="40"/>
      <c r="P11" s="40"/>
      <c r="Q11" s="37"/>
      <c r="R11" s="42"/>
      <c r="S11" s="37"/>
    </row>
    <row r="12" spans="1:20" ht="21.6" customHeight="1" x14ac:dyDescent="0.25"/>
    <row r="13" spans="1:20" x14ac:dyDescent="0.25">
      <c r="D13" s="197" t="s">
        <v>1058</v>
      </c>
      <c r="E13" s="197"/>
      <c r="F13" s="197"/>
      <c r="G13" s="197"/>
      <c r="H13" s="197"/>
      <c r="I13" s="197"/>
      <c r="J13" s="197"/>
      <c r="K13" s="197"/>
      <c r="L13" s="197"/>
      <c r="M13" s="197"/>
      <c r="N13" s="197"/>
      <c r="O13" s="197"/>
      <c r="R13" s="119" t="str">
        <f>IF(SUM(R14:R15)&lt;&gt;100%,"The below fields must add up to 100%",SUM(R14:R15))</f>
        <v>The below fields must add up to 100%</v>
      </c>
      <c r="T13" s="11" t="str">
        <f>IF(R13&lt;&gt;100%,"R","G")</f>
        <v>R</v>
      </c>
    </row>
    <row r="14" spans="1:20" ht="15" customHeight="1" x14ac:dyDescent="0.25">
      <c r="B14" s="15" t="s">
        <v>772</v>
      </c>
      <c r="D14" s="196" t="s">
        <v>1059</v>
      </c>
      <c r="E14" s="196"/>
      <c r="F14" s="196"/>
      <c r="G14" s="196"/>
      <c r="H14" s="196"/>
      <c r="I14" s="196"/>
      <c r="J14" s="196"/>
      <c r="K14" s="196"/>
      <c r="L14" s="196"/>
      <c r="M14" s="196"/>
      <c r="N14" s="196"/>
      <c r="O14" s="196"/>
      <c r="P14" s="120"/>
      <c r="R14" s="18"/>
      <c r="S14" s="52"/>
      <c r="T14" s="11" t="str">
        <f>IF(OR(R14&lt;0%,R14&gt;100%,ISBLANK(R14)),"R","G")</f>
        <v>R</v>
      </c>
    </row>
    <row r="15" spans="1:20" ht="15" customHeight="1" x14ac:dyDescent="0.25">
      <c r="B15" s="15" t="s">
        <v>773</v>
      </c>
      <c r="D15" s="184" t="s">
        <v>887</v>
      </c>
      <c r="E15" s="184"/>
      <c r="F15" s="184"/>
      <c r="G15" s="184"/>
      <c r="H15" s="184"/>
      <c r="I15" s="184"/>
      <c r="J15" s="184"/>
      <c r="K15" s="184"/>
      <c r="L15" s="184"/>
      <c r="M15" s="184"/>
      <c r="N15" s="184"/>
      <c r="O15" s="184"/>
      <c r="P15" s="54"/>
      <c r="R15" s="18"/>
      <c r="T15" s="11" t="str">
        <f>IF(OR(R15&lt;0%,R15&gt;100%,ISBLANK(R15)),"R","G")</f>
        <v>R</v>
      </c>
    </row>
    <row r="16" spans="1:20" x14ac:dyDescent="0.25">
      <c r="E16" s="54"/>
      <c r="F16" s="54"/>
      <c r="G16" s="54"/>
      <c r="H16" s="54"/>
      <c r="I16" s="54"/>
      <c r="J16" s="54"/>
      <c r="K16" s="54"/>
      <c r="L16" s="54"/>
      <c r="M16" s="54"/>
      <c r="N16" s="54"/>
      <c r="O16" s="54"/>
      <c r="P16" s="54"/>
    </row>
    <row r="17" spans="2:21" s="15" customFormat="1" x14ac:dyDescent="0.25">
      <c r="B17" s="15" t="s">
        <v>774</v>
      </c>
      <c r="D17" s="184" t="s">
        <v>888</v>
      </c>
      <c r="E17" s="184"/>
      <c r="F17" s="184"/>
      <c r="G17" s="184"/>
      <c r="H17" s="184"/>
      <c r="I17" s="184"/>
      <c r="J17" s="184"/>
      <c r="K17" s="184"/>
      <c r="L17" s="184"/>
      <c r="M17" s="184"/>
      <c r="N17" s="184"/>
      <c r="O17" s="184"/>
      <c r="P17" s="54"/>
      <c r="R17" s="67"/>
      <c r="T17" s="154" t="str">
        <f>IF(ISBLANK(R17),"R","G")</f>
        <v>R</v>
      </c>
      <c r="U17" s="155"/>
    </row>
    <row r="18" spans="2:21" x14ac:dyDescent="0.25">
      <c r="D18" s="10"/>
      <c r="E18" s="120"/>
      <c r="F18" s="120"/>
      <c r="G18" s="120"/>
      <c r="H18" s="120"/>
      <c r="I18" s="120"/>
      <c r="J18" s="120"/>
      <c r="K18" s="120"/>
      <c r="L18" s="120"/>
      <c r="M18" s="120"/>
      <c r="N18" s="120"/>
      <c r="O18" s="120"/>
      <c r="P18" s="120"/>
    </row>
    <row r="19" spans="2:21" ht="30.75" customHeight="1" x14ac:dyDescent="0.25">
      <c r="B19" s="15" t="s">
        <v>775</v>
      </c>
      <c r="D19" s="184" t="s">
        <v>889</v>
      </c>
      <c r="E19" s="184"/>
      <c r="F19" s="184"/>
      <c r="G19" s="184"/>
      <c r="H19" s="184"/>
      <c r="I19" s="184"/>
      <c r="J19" s="184"/>
      <c r="K19" s="184"/>
      <c r="L19" s="184"/>
      <c r="M19" s="184"/>
      <c r="N19" s="184"/>
      <c r="O19" s="184"/>
      <c r="P19" s="54"/>
      <c r="R19" s="16"/>
      <c r="T19" s="11" t="str">
        <f>IF(OR(ISBLANK(R19),AND(R19&lt;&gt;"Yes",R19&lt;&gt;"No")),"R","G")</f>
        <v>R</v>
      </c>
    </row>
    <row r="20" spans="2:21" x14ac:dyDescent="0.25">
      <c r="E20" s="54"/>
      <c r="F20" s="54"/>
      <c r="G20" s="54"/>
      <c r="H20" s="54"/>
      <c r="I20" s="54"/>
      <c r="J20" s="54"/>
      <c r="K20" s="54"/>
      <c r="L20" s="54"/>
      <c r="M20" s="54"/>
      <c r="N20" s="54"/>
      <c r="O20" s="54"/>
      <c r="P20" s="54"/>
    </row>
    <row r="21" spans="2:21" x14ac:dyDescent="0.25">
      <c r="B21" s="15" t="s">
        <v>1060</v>
      </c>
      <c r="D21" s="184" t="s">
        <v>890</v>
      </c>
      <c r="E21" s="184"/>
      <c r="F21" s="184"/>
      <c r="G21" s="184"/>
      <c r="H21" s="184"/>
      <c r="I21" s="184"/>
      <c r="J21" s="184"/>
      <c r="K21" s="184"/>
      <c r="L21" s="184"/>
      <c r="M21" s="184"/>
      <c r="N21" s="184"/>
      <c r="O21" s="184"/>
      <c r="P21" s="54"/>
      <c r="R21" s="18"/>
      <c r="T21" s="11" t="str">
        <f>IF(OR(R21&lt;0%,R21&gt;100%,ISBLANK(R21)),"R","G")</f>
        <v>R</v>
      </c>
    </row>
    <row r="22" spans="2:21" x14ac:dyDescent="0.25">
      <c r="E22" s="54"/>
      <c r="F22" s="54"/>
      <c r="G22" s="54"/>
      <c r="H22" s="54"/>
      <c r="I22" s="54"/>
      <c r="J22" s="54"/>
      <c r="K22" s="54"/>
      <c r="L22" s="54"/>
      <c r="M22" s="54"/>
      <c r="N22" s="54"/>
      <c r="O22" s="54"/>
      <c r="P22" s="54"/>
    </row>
    <row r="23" spans="2:21" x14ac:dyDescent="0.25">
      <c r="B23" s="15" t="s">
        <v>1061</v>
      </c>
      <c r="D23" s="184" t="s">
        <v>1233</v>
      </c>
      <c r="E23" s="184"/>
      <c r="F23" s="184"/>
      <c r="G23" s="184"/>
      <c r="H23" s="184"/>
      <c r="I23" s="184"/>
      <c r="J23" s="184"/>
      <c r="K23" s="184"/>
      <c r="L23" s="184"/>
      <c r="M23" s="184"/>
      <c r="N23" s="184"/>
      <c r="O23" s="184"/>
      <c r="P23" s="52"/>
      <c r="R23" s="10"/>
    </row>
    <row r="24" spans="2:21" ht="55.5" customHeight="1" x14ac:dyDescent="0.25">
      <c r="D24" s="190" t="s">
        <v>1349</v>
      </c>
      <c r="E24" s="190"/>
      <c r="F24" s="190"/>
      <c r="G24" s="190"/>
      <c r="H24" s="190"/>
      <c r="I24" s="190"/>
      <c r="J24" s="190"/>
      <c r="K24" s="190"/>
      <c r="L24" s="190"/>
      <c r="M24" s="190"/>
      <c r="N24" s="190"/>
      <c r="O24" s="190"/>
      <c r="P24" s="190"/>
      <c r="R24" s="101"/>
    </row>
    <row r="25" spans="2:21" ht="15" customHeight="1" x14ac:dyDescent="0.25">
      <c r="B25" s="46" t="str">
        <f>$B$23&amp;"-M"</f>
        <v>FI-IR-06-M</v>
      </c>
      <c r="C25" s="46"/>
      <c r="E25" s="189" t="s">
        <v>448</v>
      </c>
      <c r="F25" s="189"/>
      <c r="G25" s="189"/>
      <c r="H25" s="189"/>
      <c r="I25" s="189"/>
      <c r="J25" s="189"/>
      <c r="K25" s="189"/>
      <c r="L25" s="189"/>
      <c r="M25" s="189"/>
      <c r="N25" s="189"/>
      <c r="O25" s="189"/>
      <c r="P25" s="52"/>
      <c r="R25" s="98"/>
      <c r="T25" s="11" t="str">
        <f>IF(ISBLANK(R25),"R","G")</f>
        <v>R</v>
      </c>
    </row>
    <row r="26" spans="2:21" ht="15" customHeight="1" x14ac:dyDescent="0.25">
      <c r="B26" s="46" t="str">
        <f>$B$23&amp;"-E"</f>
        <v>FI-IR-06-E</v>
      </c>
      <c r="C26" s="46"/>
      <c r="E26" s="189" t="s">
        <v>1084</v>
      </c>
      <c r="F26" s="189"/>
      <c r="G26" s="189"/>
      <c r="H26" s="189"/>
      <c r="I26" s="189"/>
      <c r="J26" s="189"/>
      <c r="K26" s="189"/>
      <c r="L26" s="189"/>
      <c r="M26" s="189"/>
      <c r="N26" s="189"/>
      <c r="O26" s="189"/>
      <c r="P26" s="52"/>
      <c r="R26" s="67"/>
      <c r="T26" s="11" t="str">
        <f>IF(ISBLANK(R26),"R","G")</f>
        <v>R</v>
      </c>
    </row>
    <row r="27" spans="2:21" ht="15" customHeight="1" x14ac:dyDescent="0.25">
      <c r="B27" s="46" t="str">
        <f>$B$23&amp;"-N"</f>
        <v>FI-IR-06-N</v>
      </c>
      <c r="C27" s="46"/>
      <c r="E27" s="189" t="s">
        <v>1085</v>
      </c>
      <c r="F27" s="189"/>
      <c r="G27" s="189"/>
      <c r="H27" s="189"/>
      <c r="I27" s="189"/>
      <c r="J27" s="189"/>
      <c r="K27" s="189"/>
      <c r="L27" s="189"/>
      <c r="M27" s="189"/>
      <c r="N27" s="189"/>
      <c r="O27" s="189"/>
      <c r="P27" s="52"/>
      <c r="R27" s="67"/>
      <c r="T27" s="11" t="str">
        <f>IF(ISBLANK(R27),"R","G")</f>
        <v>R</v>
      </c>
    </row>
    <row r="28" spans="2:21" ht="26.25" customHeight="1" x14ac:dyDescent="0.25">
      <c r="B28" s="46" t="str">
        <f>$B$23&amp;"-F"</f>
        <v>FI-IR-06-F</v>
      </c>
      <c r="C28" s="46"/>
      <c r="E28" s="189" t="s">
        <v>1086</v>
      </c>
      <c r="F28" s="189"/>
      <c r="G28" s="189"/>
      <c r="H28" s="189"/>
      <c r="I28" s="189"/>
      <c r="J28" s="189"/>
      <c r="K28" s="189"/>
      <c r="L28" s="189"/>
      <c r="M28" s="189"/>
      <c r="N28" s="189"/>
      <c r="O28" s="189"/>
      <c r="P28" s="86"/>
      <c r="R28" s="67"/>
      <c r="T28" s="11" t="str">
        <f>IF(ISBLANK(R28),"R","G")</f>
        <v>R</v>
      </c>
    </row>
    <row r="29" spans="2:21" x14ac:dyDescent="0.25">
      <c r="B29" s="10"/>
      <c r="C29" s="10"/>
      <c r="D29" s="10"/>
      <c r="E29" s="10"/>
      <c r="F29" s="10"/>
      <c r="G29" s="10"/>
      <c r="H29" s="10"/>
      <c r="I29" s="10"/>
      <c r="J29" s="10"/>
      <c r="K29" s="10"/>
      <c r="L29" s="10"/>
      <c r="M29" s="10"/>
      <c r="N29" s="10"/>
      <c r="O29" s="10"/>
      <c r="P29" s="10"/>
      <c r="R29" s="10"/>
    </row>
    <row r="30" spans="2:21" x14ac:dyDescent="0.25">
      <c r="B30" s="87"/>
      <c r="C30" s="87"/>
      <c r="D30" s="192" t="str">
        <f>IF(R28=0,"",IF(SUM(G31:G43,K31:K43,O31:O37)=R28,"","The totals included next to each jurisdiction do not add up to "&amp;R28&amp;", please revise the figures."))</f>
        <v/>
      </c>
      <c r="E30" s="192"/>
      <c r="F30" s="192"/>
      <c r="G30" s="192"/>
      <c r="H30" s="192"/>
      <c r="I30" s="192"/>
      <c r="J30" s="192"/>
      <c r="K30" s="192"/>
      <c r="L30" s="192"/>
      <c r="M30" s="192"/>
      <c r="N30" s="192"/>
      <c r="O30" s="192"/>
      <c r="P30" s="88"/>
      <c r="R30" s="89"/>
      <c r="T30" s="11" t="str">
        <f>IF(D30="","G","R")</f>
        <v>G</v>
      </c>
    </row>
    <row r="31" spans="2:21" ht="25.5" x14ac:dyDescent="0.25">
      <c r="C31" s="90" t="str">
        <f t="shared" ref="C31:C43" si="0">$B$28&amp;"-"&amp;D31</f>
        <v>FI-IR-06-F-AF</v>
      </c>
      <c r="D31" s="91" t="s">
        <v>1093</v>
      </c>
      <c r="E31" s="92" t="s">
        <v>317</v>
      </c>
      <c r="F31" s="93"/>
      <c r="G31" s="99">
        <v>0</v>
      </c>
      <c r="H31" s="90" t="str">
        <f>$B$28&amp;"-"&amp;I31</f>
        <v>FI-IR-06-F-LA</v>
      </c>
      <c r="I31" s="91" t="s">
        <v>1317</v>
      </c>
      <c r="J31" s="92" t="s">
        <v>1312</v>
      </c>
      <c r="K31" s="99">
        <v>0</v>
      </c>
      <c r="L31" s="90" t="str">
        <f>$B$28&amp;"-"&amp;M31</f>
        <v>FI-IR-06-F-TZ</v>
      </c>
      <c r="M31" s="91" t="s">
        <v>1110</v>
      </c>
      <c r="N31" s="92" t="s">
        <v>526</v>
      </c>
      <c r="O31" s="99">
        <v>0</v>
      </c>
      <c r="P31" s="54"/>
      <c r="R31" s="89"/>
      <c r="T31" s="11" t="str">
        <f>IF(OR(AND(OR(ISBLANK(G31),ISBLANK(K31),ISBLANK(O31)),$R$28&gt;0),AND($R$28&lt;=0,OR(OR(G31&lt;&gt;0,K31&lt;&gt;0,O31&lt;&gt;0)))),"R","G")</f>
        <v>G</v>
      </c>
    </row>
    <row r="32" spans="2:21" x14ac:dyDescent="0.25">
      <c r="C32" s="90" t="str">
        <f t="shared" si="0"/>
        <v>FI-IR-06-F-DZ</v>
      </c>
      <c r="D32" s="91" t="s">
        <v>1094</v>
      </c>
      <c r="E32" s="92" t="s">
        <v>319</v>
      </c>
      <c r="F32" s="93"/>
      <c r="G32" s="99">
        <v>0</v>
      </c>
      <c r="H32" s="90" t="str">
        <f t="shared" ref="H32:H43" si="1">$B$28&amp;"-"&amp;I32</f>
        <v>FI-IR-06-F-LB</v>
      </c>
      <c r="I32" s="91" t="s">
        <v>1102</v>
      </c>
      <c r="J32" s="92" t="s">
        <v>434</v>
      </c>
      <c r="K32" s="99">
        <v>0</v>
      </c>
      <c r="L32" s="90" t="str">
        <f t="shared" ref="L32:L37" si="2">$B$28&amp;"-"&amp;M32</f>
        <v>FI-IR-06-F-TT</v>
      </c>
      <c r="M32" s="91" t="s">
        <v>1111</v>
      </c>
      <c r="N32" s="92" t="s">
        <v>532</v>
      </c>
      <c r="O32" s="99">
        <v>0</v>
      </c>
      <c r="P32" s="54"/>
      <c r="R32" s="89"/>
      <c r="T32" s="11" t="str">
        <f>IF(OR(AND(OR(ISBLANK(G32),ISBLANK(K32),ISBLANK(O32)),$R$28&gt;0),AND($R$28&lt;=0,OR(OR(G32&lt;&gt;0,K32&lt;&gt;0,O32&lt;&gt;0)))),"R","G")</f>
        <v>G</v>
      </c>
    </row>
    <row r="33" spans="2:21" x14ac:dyDescent="0.25">
      <c r="C33" s="90" t="str">
        <f t="shared" si="0"/>
        <v>FI-IR-06-F-AO</v>
      </c>
      <c r="D33" s="91" t="s">
        <v>1095</v>
      </c>
      <c r="E33" s="92" t="s">
        <v>322</v>
      </c>
      <c r="F33" s="93"/>
      <c r="G33" s="99">
        <v>0</v>
      </c>
      <c r="H33" s="90" t="str">
        <f t="shared" si="1"/>
        <v>FI-IR-06-F-ML</v>
      </c>
      <c r="I33" s="91" t="s">
        <v>1103</v>
      </c>
      <c r="J33" s="92" t="s">
        <v>447</v>
      </c>
      <c r="K33" s="99">
        <v>0</v>
      </c>
      <c r="L33" s="90" t="str">
        <f t="shared" si="2"/>
        <v>FI-IR-06-F-VU</v>
      </c>
      <c r="M33" s="91" t="s">
        <v>1112</v>
      </c>
      <c r="N33" s="92" t="s">
        <v>546</v>
      </c>
      <c r="O33" s="99">
        <v>0</v>
      </c>
      <c r="P33" s="54"/>
      <c r="R33" s="89"/>
      <c r="T33" s="11" t="str">
        <f t="shared" ref="T33:T37" si="3">IF(OR(AND(OR(ISBLANK(G33),ISBLANK(K33),ISBLANK(O33)),$R$28&gt;0),AND($R$28&lt;=0,OR(OR(G33&lt;&gt;0,K33&lt;&gt;0,O33&lt;&gt;0)))),"R","G")</f>
        <v>G</v>
      </c>
    </row>
    <row r="34" spans="2:21" x14ac:dyDescent="0.25">
      <c r="C34" s="90" t="str">
        <f t="shared" si="0"/>
        <v>FI-IR-06-F-BO</v>
      </c>
      <c r="D34" s="91" t="s">
        <v>1316</v>
      </c>
      <c r="E34" s="92" t="s">
        <v>342</v>
      </c>
      <c r="F34" s="93"/>
      <c r="G34" s="99">
        <v>0</v>
      </c>
      <c r="H34" s="90" t="str">
        <f t="shared" si="1"/>
        <v>FI-IR-06-F-MN</v>
      </c>
      <c r="I34" s="91" t="s">
        <v>1315</v>
      </c>
      <c r="J34" s="92" t="s">
        <v>457</v>
      </c>
      <c r="K34" s="99">
        <v>0</v>
      </c>
      <c r="L34" s="90" t="str">
        <f t="shared" si="2"/>
        <v>FI-IR-06-F-VE</v>
      </c>
      <c r="M34" s="91" t="s">
        <v>1113</v>
      </c>
      <c r="N34" s="92" t="s">
        <v>547</v>
      </c>
      <c r="O34" s="99">
        <v>0</v>
      </c>
      <c r="P34" s="54"/>
      <c r="R34" s="89"/>
      <c r="T34" s="11" t="str">
        <f t="shared" si="3"/>
        <v>G</v>
      </c>
    </row>
    <row r="35" spans="2:21" x14ac:dyDescent="0.25">
      <c r="C35" s="90" t="str">
        <f t="shared" si="0"/>
        <v>FI-IR-06-F-BG</v>
      </c>
      <c r="D35" s="91" t="s">
        <v>1096</v>
      </c>
      <c r="E35" s="92" t="s">
        <v>349</v>
      </c>
      <c r="F35" s="93"/>
      <c r="G35" s="99">
        <v>0</v>
      </c>
      <c r="H35" s="90" t="str">
        <f t="shared" si="1"/>
        <v>FI-IR-06-F-MZ</v>
      </c>
      <c r="I35" s="91" t="s">
        <v>1104</v>
      </c>
      <c r="J35" s="92" t="s">
        <v>461</v>
      </c>
      <c r="K35" s="99">
        <v>0</v>
      </c>
      <c r="L35" s="90" t="str">
        <f t="shared" si="2"/>
        <v>FI-IR-06-F-VN</v>
      </c>
      <c r="M35" s="91" t="s">
        <v>1114</v>
      </c>
      <c r="N35" s="92" t="s">
        <v>1313</v>
      </c>
      <c r="O35" s="99">
        <v>0</v>
      </c>
      <c r="P35" s="54"/>
      <c r="R35" s="89"/>
      <c r="T35" s="11" t="str">
        <f t="shared" si="3"/>
        <v>G</v>
      </c>
    </row>
    <row r="36" spans="2:21" x14ac:dyDescent="0.25">
      <c r="C36" s="90" t="str">
        <f t="shared" si="0"/>
        <v>FI-IR-06-F-BF</v>
      </c>
      <c r="D36" s="91" t="s">
        <v>1097</v>
      </c>
      <c r="E36" s="92" t="s">
        <v>350</v>
      </c>
      <c r="F36" s="93"/>
      <c r="G36" s="99">
        <v>0</v>
      </c>
      <c r="H36" s="90" t="str">
        <f t="shared" si="1"/>
        <v>FI-IR-06-F-MM</v>
      </c>
      <c r="I36" s="91" t="s">
        <v>1105</v>
      </c>
      <c r="J36" s="92" t="s">
        <v>462</v>
      </c>
      <c r="K36" s="99">
        <v>0</v>
      </c>
      <c r="L36" s="90" t="str">
        <f t="shared" si="2"/>
        <v>FI-IR-06-F-VI</v>
      </c>
      <c r="M36" s="91" t="s">
        <v>1319</v>
      </c>
      <c r="N36" s="92" t="s">
        <v>1314</v>
      </c>
      <c r="O36" s="99">
        <v>0</v>
      </c>
      <c r="P36" s="54"/>
      <c r="R36" s="89"/>
      <c r="T36" s="11" t="str">
        <f t="shared" si="3"/>
        <v>G</v>
      </c>
    </row>
    <row r="37" spans="2:21" x14ac:dyDescent="0.25">
      <c r="C37" s="90" t="str">
        <f t="shared" si="0"/>
        <v>FI-IR-06-F-CM</v>
      </c>
      <c r="D37" s="91" t="s">
        <v>1098</v>
      </c>
      <c r="E37" s="92" t="s">
        <v>353</v>
      </c>
      <c r="F37" s="93"/>
      <c r="G37" s="99">
        <v>0</v>
      </c>
      <c r="H37" s="90" t="str">
        <f t="shared" si="1"/>
        <v>FI-IR-06-F-NA</v>
      </c>
      <c r="I37" s="91" t="s">
        <v>1106</v>
      </c>
      <c r="J37" s="92" t="s">
        <v>463</v>
      </c>
      <c r="K37" s="99">
        <v>0</v>
      </c>
      <c r="L37" s="90" t="str">
        <f t="shared" si="2"/>
        <v>FI-IR-06-F-YE</v>
      </c>
      <c r="M37" s="91" t="s">
        <v>1115</v>
      </c>
      <c r="N37" s="92" t="s">
        <v>553</v>
      </c>
      <c r="O37" s="99">
        <v>0</v>
      </c>
      <c r="P37" s="54"/>
      <c r="R37" s="89"/>
      <c r="T37" s="11" t="str">
        <f t="shared" si="3"/>
        <v>G</v>
      </c>
    </row>
    <row r="38" spans="2:21" ht="38.25" x14ac:dyDescent="0.25">
      <c r="C38" s="90" t="str">
        <f t="shared" si="0"/>
        <v>FI-IR-06-F-CD</v>
      </c>
      <c r="D38" s="91" t="s">
        <v>1099</v>
      </c>
      <c r="E38" s="92" t="s">
        <v>366</v>
      </c>
      <c r="F38" s="93"/>
      <c r="G38" s="99">
        <v>0</v>
      </c>
      <c r="H38" s="90" t="str">
        <f t="shared" si="1"/>
        <v>FI-IR-06-F-NP</v>
      </c>
      <c r="I38" s="91" t="s">
        <v>1318</v>
      </c>
      <c r="J38" s="92" t="s">
        <v>465</v>
      </c>
      <c r="K38" s="99">
        <v>0</v>
      </c>
      <c r="L38" s="54"/>
      <c r="M38" s="54"/>
      <c r="N38" s="54"/>
      <c r="O38" s="54"/>
      <c r="P38" s="54"/>
      <c r="R38" s="89"/>
      <c r="T38" s="11" t="str">
        <f t="shared" ref="T38:T43" si="4">IF(OR(AND(OR(ISBLANK(G38),ISBLANK(K38)),$R$28&gt;0),AND($R$28&lt;=0,OR(OR(G38&lt;&gt;0,K38&lt;&gt;0)))),"R","G")</f>
        <v>G</v>
      </c>
    </row>
    <row r="39" spans="2:21" x14ac:dyDescent="0.25">
      <c r="C39" s="90" t="str">
        <f t="shared" si="0"/>
        <v>FI-IR-06-F-CI</v>
      </c>
      <c r="D39" s="91" t="s">
        <v>1091</v>
      </c>
      <c r="E39" s="92" t="s">
        <v>369</v>
      </c>
      <c r="F39" s="93"/>
      <c r="G39" s="99">
        <v>0</v>
      </c>
      <c r="H39" s="90" t="str">
        <f t="shared" si="1"/>
        <v>FI-IR-06-F-NG</v>
      </c>
      <c r="I39" s="91" t="s">
        <v>1107</v>
      </c>
      <c r="J39" s="92" t="s">
        <v>472</v>
      </c>
      <c r="K39" s="99">
        <v>0</v>
      </c>
      <c r="L39" s="54"/>
      <c r="M39" s="54"/>
      <c r="N39" s="54"/>
      <c r="O39" s="54"/>
      <c r="P39" s="54"/>
      <c r="R39" s="89"/>
      <c r="T39" s="11" t="str">
        <f t="shared" si="4"/>
        <v>G</v>
      </c>
    </row>
    <row r="40" spans="2:21" x14ac:dyDescent="0.25">
      <c r="C40" s="90" t="str">
        <f t="shared" si="0"/>
        <v>FI-IR-06-F-HT</v>
      </c>
      <c r="D40" s="91" t="s">
        <v>1100</v>
      </c>
      <c r="E40" s="92" t="s">
        <v>408</v>
      </c>
      <c r="F40" s="93"/>
      <c r="G40" s="99">
        <v>0</v>
      </c>
      <c r="H40" s="90" t="str">
        <f t="shared" si="1"/>
        <v>FI-IR-06-F-RU</v>
      </c>
      <c r="I40" s="91" t="s">
        <v>1321</v>
      </c>
      <c r="J40" s="92" t="s">
        <v>1320</v>
      </c>
      <c r="K40" s="99">
        <v>0</v>
      </c>
      <c r="L40" s="54"/>
      <c r="M40" s="54"/>
      <c r="N40" s="54"/>
      <c r="O40" s="54"/>
      <c r="P40" s="54"/>
      <c r="R40" s="89"/>
      <c r="T40" s="11" t="str">
        <f t="shared" si="4"/>
        <v>G</v>
      </c>
    </row>
    <row r="41" spans="2:21" ht="25.5" x14ac:dyDescent="0.25">
      <c r="C41" s="90" t="str">
        <f t="shared" si="0"/>
        <v>FI-IR-06-F-IR</v>
      </c>
      <c r="D41" s="91" t="s">
        <v>912</v>
      </c>
      <c r="E41" s="92" t="s">
        <v>417</v>
      </c>
      <c r="F41" s="93"/>
      <c r="G41" s="99">
        <v>0</v>
      </c>
      <c r="H41" s="90" t="str">
        <f t="shared" si="1"/>
        <v>FI-IR-06-F-ZA</v>
      </c>
      <c r="I41" s="91" t="s">
        <v>1108</v>
      </c>
      <c r="J41" s="92" t="s">
        <v>513</v>
      </c>
      <c r="K41" s="99">
        <v>0</v>
      </c>
      <c r="L41" s="54"/>
      <c r="M41" s="54"/>
      <c r="N41" s="54"/>
      <c r="O41" s="54"/>
      <c r="P41" s="54"/>
      <c r="R41" s="89"/>
      <c r="T41" s="11" t="str">
        <f t="shared" si="4"/>
        <v>G</v>
      </c>
    </row>
    <row r="42" spans="2:21" x14ac:dyDescent="0.25">
      <c r="C42" s="90" t="str">
        <f t="shared" si="0"/>
        <v>FI-IR-06-F-KE</v>
      </c>
      <c r="D42" s="91" t="s">
        <v>1101</v>
      </c>
      <c r="E42" s="92" t="s">
        <v>426</v>
      </c>
      <c r="F42" s="93"/>
      <c r="G42" s="99">
        <v>0</v>
      </c>
      <c r="H42" s="90" t="str">
        <f t="shared" si="1"/>
        <v>FI-IR-06-F-SS</v>
      </c>
      <c r="I42" s="91" t="s">
        <v>1089</v>
      </c>
      <c r="J42" s="92" t="s">
        <v>1088</v>
      </c>
      <c r="K42" s="99">
        <v>0</v>
      </c>
      <c r="L42" s="94"/>
      <c r="M42" s="95"/>
      <c r="N42" s="95"/>
      <c r="O42" s="95"/>
      <c r="P42" s="54"/>
      <c r="R42" s="89"/>
      <c r="T42" s="11" t="str">
        <f t="shared" si="4"/>
        <v>G</v>
      </c>
    </row>
    <row r="43" spans="2:21" ht="25.5" x14ac:dyDescent="0.25">
      <c r="C43" s="90" t="str">
        <f t="shared" si="0"/>
        <v>FI-IR-06-F-KP</v>
      </c>
      <c r="D43" s="91" t="s">
        <v>1090</v>
      </c>
      <c r="E43" s="92" t="s">
        <v>428</v>
      </c>
      <c r="F43" s="96"/>
      <c r="G43" s="99">
        <v>0</v>
      </c>
      <c r="H43" s="90" t="str">
        <f t="shared" si="1"/>
        <v>FI-IR-06-F-SY</v>
      </c>
      <c r="I43" s="91" t="s">
        <v>1109</v>
      </c>
      <c r="J43" s="92" t="s">
        <v>523</v>
      </c>
      <c r="K43" s="99">
        <v>0</v>
      </c>
      <c r="L43" s="94"/>
      <c r="M43" s="95"/>
      <c r="N43" s="95"/>
      <c r="O43" s="95"/>
      <c r="P43" s="54"/>
      <c r="R43" s="89"/>
      <c r="T43" s="11" t="str">
        <f t="shared" si="4"/>
        <v>G</v>
      </c>
    </row>
    <row r="44" spans="2:21" ht="17.45" customHeight="1" x14ac:dyDescent="0.25">
      <c r="D44" s="15"/>
    </row>
    <row r="45" spans="2:21" s="15" customFormat="1" x14ac:dyDescent="0.25">
      <c r="B45" s="15" t="s">
        <v>776</v>
      </c>
      <c r="D45" s="184" t="s">
        <v>891</v>
      </c>
      <c r="E45" s="184"/>
      <c r="F45" s="184"/>
      <c r="G45" s="184"/>
      <c r="H45" s="184"/>
      <c r="I45" s="184"/>
      <c r="J45" s="184"/>
      <c r="K45" s="184"/>
      <c r="L45" s="184"/>
      <c r="M45" s="184"/>
      <c r="N45" s="184"/>
      <c r="O45" s="184"/>
      <c r="P45" s="54"/>
      <c r="R45" s="67"/>
      <c r="T45" s="154" t="str">
        <f>IF(OR(AND(ISBLANK(R45),ISBLANK(R46)),AND(NOT(ISBLANK(R45)),R46="Not Applicable")),"R","G")</f>
        <v>R</v>
      </c>
      <c r="U45" s="155"/>
    </row>
    <row r="46" spans="2:21" x14ac:dyDescent="0.25">
      <c r="B46" s="57" t="s">
        <v>1062</v>
      </c>
      <c r="C46" s="57"/>
      <c r="M46" s="187" t="s">
        <v>305</v>
      </c>
      <c r="N46" s="187"/>
      <c r="O46" s="187"/>
      <c r="P46" s="187"/>
      <c r="R46" s="16"/>
      <c r="T46" s="154" t="str">
        <f>IF(OR(AND(ISBLANK(R45),ISBLANK(R46)),AND(NOT(ISBLANK(R45)),R46="Not Applicable")),"R","G")</f>
        <v>R</v>
      </c>
    </row>
    <row r="47" spans="2:21" x14ac:dyDescent="0.25"/>
    <row r="48" spans="2:21" ht="37.5" customHeight="1" x14ac:dyDescent="0.25">
      <c r="B48" s="15" t="s">
        <v>777</v>
      </c>
      <c r="D48" s="184" t="s">
        <v>892</v>
      </c>
      <c r="E48" s="184"/>
      <c r="F48" s="184"/>
      <c r="G48" s="184"/>
      <c r="H48" s="184"/>
      <c r="I48" s="184"/>
      <c r="J48" s="184"/>
      <c r="K48" s="184"/>
      <c r="L48" s="184"/>
      <c r="M48" s="184"/>
      <c r="N48" s="184"/>
      <c r="O48" s="184"/>
      <c r="P48" s="26"/>
      <c r="R48" s="18"/>
      <c r="T48" s="11" t="str">
        <f>IF(OR(AND(ISBLANK(R48),ISBLANK(R49)),AND(NOT(ISBLANK(R48)),R49="Not Applicable")),"R","G")</f>
        <v>R</v>
      </c>
    </row>
    <row r="49" spans="1:20" x14ac:dyDescent="0.25">
      <c r="B49" s="57" t="s">
        <v>1063</v>
      </c>
      <c r="C49" s="57"/>
      <c r="M49" s="187" t="s">
        <v>305</v>
      </c>
      <c r="N49" s="187"/>
      <c r="O49" s="187"/>
      <c r="P49" s="187"/>
      <c r="R49" s="16"/>
      <c r="T49" s="11" t="str">
        <f>IF(OR(AND(ISBLANK(R48),ISBLANK(R49)),AND(NOT(ISBLANK(R48)),R49="Not Applicable")),"R","G")</f>
        <v>R</v>
      </c>
    </row>
    <row r="50" spans="1:20" x14ac:dyDescent="0.25">
      <c r="P50" s="43"/>
    </row>
    <row r="51" spans="1:20" ht="6.6" customHeight="1" x14ac:dyDescent="0.25">
      <c r="A51" s="13"/>
      <c r="B51" s="58"/>
      <c r="C51" s="58"/>
      <c r="D51" s="13"/>
      <c r="E51" s="13"/>
      <c r="F51" s="13"/>
      <c r="G51" s="13"/>
      <c r="H51" s="13"/>
      <c r="I51" s="13"/>
      <c r="J51" s="13"/>
      <c r="K51" s="13"/>
      <c r="L51" s="13"/>
      <c r="M51" s="13"/>
      <c r="N51" s="13"/>
      <c r="O51" s="13"/>
      <c r="P51" s="13"/>
      <c r="Q51" s="13"/>
      <c r="R51" s="59"/>
      <c r="S51" s="13"/>
      <c r="T51" s="13"/>
    </row>
  </sheetData>
  <sheetProtection algorithmName="SHA-512" hashValue="TqyOE6HvJChnAAtzHMHp77XQemWT3+dnmmFth3HV9uwJe7YkTJcY7aLZAytiBU2h97FlSwwpEyJiFt9a7tRDYQ==" saltValue="kqtw2yUMRwttmTW/Xpg3rA==" spinCount="100000" sheet="1" objects="1" scenarios="1"/>
  <mergeCells count="18">
    <mergeCell ref="M49:P49"/>
    <mergeCell ref="M46:P46"/>
    <mergeCell ref="E25:O25"/>
    <mergeCell ref="E26:O26"/>
    <mergeCell ref="E27:O27"/>
    <mergeCell ref="E28:O28"/>
    <mergeCell ref="D30:O30"/>
    <mergeCell ref="D48:O48"/>
    <mergeCell ref="D45:O45"/>
    <mergeCell ref="D24:P24"/>
    <mergeCell ref="D23:O23"/>
    <mergeCell ref="D21:O21"/>
    <mergeCell ref="D19:O19"/>
    <mergeCell ref="E2:R2"/>
    <mergeCell ref="D17:O17"/>
    <mergeCell ref="D15:O15"/>
    <mergeCell ref="D14:O14"/>
    <mergeCell ref="D13:O13"/>
  </mergeCells>
  <phoneticPr fontId="27" type="noConversion"/>
  <conditionalFormatting sqref="C30:O37 C38:K41 C42:O43">
    <cfRule type="expression" dxfId="53" priority="14">
      <formula>$R$28&lt;=0</formula>
    </cfRule>
  </conditionalFormatting>
  <conditionalFormatting sqref="T1:T1048576">
    <cfRule type="cellIs" dxfId="52" priority="1" operator="equal">
      <formula>"Y"</formula>
    </cfRule>
    <cfRule type="cellIs" dxfId="51" priority="2" operator="equal">
      <formula>"R"</formula>
    </cfRule>
    <cfRule type="cellIs" dxfId="50" priority="3" operator="equal">
      <formula>"G"</formula>
    </cfRule>
  </conditionalFormatting>
  <dataValidations count="6">
    <dataValidation type="decimal" allowBlank="1" showInputMessage="1" showErrorMessage="1" error="Kindly input a percentage value between 0% and 100%" sqref="R14:R15 R21" xr:uid="{0D5AED96-BAA6-4283-A3CC-3B5251F1F672}">
      <formula1>0</formula1>
      <formula2>1</formula2>
    </dataValidation>
    <dataValidation type="whole" operator="greaterThanOrEqual" allowBlank="1" showInputMessage="1" showErrorMessage="1" error="Kindly input a whole number _x000a_greater than or equal to 0" prompt="Kindly input a whole number greater than or equal to 0" sqref="R25:R28 R17" xr:uid="{327EBAD5-6617-47C5-8F49-3B0EB6F4D203}">
      <formula1>0</formula1>
    </dataValidation>
    <dataValidation type="whole" operator="greaterThanOrEqual" allowBlank="1" showInputMessage="1" showErrorMessage="1" error="Kindly input a whole number _x000a_greater than or equal to 0" prompt="Please include an answer in this cell or choose &quot;Not Applicable&quot; in the cell below. Field should remain blank if one is opting for &quot;Not Applicable&quot;." sqref="R45" xr:uid="{646A4C21-7169-4A6E-9C55-FACC52AB84CA}">
      <formula1>0</formula1>
    </dataValidation>
    <dataValidation type="decimal" allowBlank="1" showInputMessage="1" showErrorMessage="1" error="Kindly input a percentage value between 0% and 100%" prompt="Please include an answer in this cell or choose &quot;Not Applicable&quot; in the cell below. Field should remain blank if one is opting for &quot;Not Applicable&quot;." sqref="R48" xr:uid="{0DEA155D-AABD-41FB-82F1-F760521D9DEB}">
      <formula1>0</formula1>
      <formula2>1</formula2>
    </dataValidation>
    <dataValidation allowBlank="1" showInputMessage="1" showErrorMessage="1" prompt="This means that the user made use of formulas in the sheet which resulted in an error message. Kindly make sure that these issues are addressed before submitting the template." sqref="R5" xr:uid="{2539DA7D-0F74-4640-9DF6-2032B0093373}"/>
    <dataValidation type="whole" operator="greaterThanOrEqual" allowBlank="1" showInputMessage="1" showErrorMessage="1" error="Kindly input a whole number _x000a_greater than or equal to 0" prompt="Please input a whole number greater or equal to 0." sqref="K31:K43 G31:G43 O31:O37" xr:uid="{B0B5FE10-4623-4042-97B3-B8FFAC1A65ED}">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4599235-6841-46FE-A21A-AFFCACD4005C}">
          <x14:formula1>
            <xm:f>List_2!$C$2:$C$3</xm:f>
          </x14:formula1>
          <xm:sqref>R19</xm:sqref>
        </x14:dataValidation>
        <x14:dataValidation type="list" allowBlank="1" showInputMessage="1" showErrorMessage="1" prompt="Please include &quot;Not Applicable&quot; in this cell or fill in the answer in the cell above. Field should remain blank if one is including an answer above." xr:uid="{815DF6F0-9309-4394-B929-1D46508D8028}">
          <x14:formula1>
            <xm:f>List_2!$E$2:$E$3</xm:f>
          </x14:formula1>
          <xm:sqref>R49 R46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A0A69-8856-45F1-9E13-4464143A7084}">
  <sheetPr codeName="Sheet3">
    <tabColor rgb="FF002B96"/>
  </sheetPr>
  <dimension ref="A1:AC341"/>
  <sheetViews>
    <sheetView zoomScaleNormal="100" workbookViewId="0"/>
  </sheetViews>
  <sheetFormatPr defaultColWidth="0" defaultRowHeight="15" zeroHeight="1" x14ac:dyDescent="0.25"/>
  <cols>
    <col min="1" max="1" width="2" style="10" customWidth="1"/>
    <col min="2" max="2" width="14.28515625" style="15" customWidth="1"/>
    <col min="3" max="3" width="1.140625" style="15" customWidth="1"/>
    <col min="4" max="4" width="4.7109375" style="34" customWidth="1"/>
    <col min="5" max="5" width="19.42578125" style="34" customWidth="1"/>
    <col min="6" max="6" width="0.5703125" style="34" customWidth="1"/>
    <col min="7" max="7" width="18.7109375" style="34" customWidth="1"/>
    <col min="8" max="8" width="1.140625" style="34" customWidth="1"/>
    <col min="9" max="9" width="4.7109375" style="34" customWidth="1"/>
    <col min="10" max="10" width="19.42578125" style="34" customWidth="1"/>
    <col min="11" max="11" width="18.7109375" style="34" customWidth="1"/>
    <col min="12" max="12" width="1.140625" style="34" customWidth="1"/>
    <col min="13" max="13" width="4.7109375" style="34" customWidth="1"/>
    <col min="14" max="14" width="19.42578125" style="34" customWidth="1"/>
    <col min="15" max="15" width="21.140625" style="34" customWidth="1"/>
    <col min="16" max="16" width="15.28515625" style="34" bestFit="1" customWidth="1"/>
    <col min="17" max="17" width="0.5703125" style="10" customWidth="1"/>
    <col min="18" max="18" width="39.28515625" style="26" bestFit="1" customWidth="1"/>
    <col min="19" max="19" width="0.85546875" style="10" customWidth="1"/>
    <col min="20" max="20" width="2.140625" style="10" customWidth="1"/>
    <col min="21" max="21" width="0.5703125" style="22" customWidth="1"/>
    <col min="22" max="29" width="0" style="10" hidden="1" customWidth="1"/>
    <col min="30" max="16384" width="9.140625" style="10" hidden="1"/>
  </cols>
  <sheetData>
    <row r="1" spans="1:20" ht="15.75" x14ac:dyDescent="0.25">
      <c r="A1" s="6"/>
      <c r="B1" s="19"/>
      <c r="C1" s="19"/>
      <c r="D1" s="20"/>
      <c r="E1" s="20"/>
      <c r="F1" s="20"/>
      <c r="G1" s="20"/>
      <c r="H1" s="20"/>
      <c r="I1" s="20"/>
      <c r="J1" s="20"/>
      <c r="K1" s="20"/>
      <c r="L1" s="20"/>
      <c r="M1" s="20"/>
      <c r="N1" s="20"/>
      <c r="O1" s="20"/>
      <c r="P1" s="20"/>
      <c r="Q1" s="7"/>
      <c r="R1" s="14"/>
      <c r="S1" s="8"/>
      <c r="T1" s="8"/>
    </row>
    <row r="2" spans="1:20" ht="18.75" x14ac:dyDescent="0.25">
      <c r="A2" s="8"/>
      <c r="B2" s="19"/>
      <c r="C2" s="19"/>
      <c r="D2" s="20"/>
      <c r="E2" s="180" t="s">
        <v>252</v>
      </c>
      <c r="F2" s="180"/>
      <c r="G2" s="180"/>
      <c r="H2" s="180"/>
      <c r="I2" s="180"/>
      <c r="J2" s="180"/>
      <c r="K2" s="180"/>
      <c r="L2" s="180"/>
      <c r="M2" s="180"/>
      <c r="N2" s="180"/>
      <c r="O2" s="180"/>
      <c r="P2" s="180"/>
      <c r="Q2" s="180"/>
      <c r="R2" s="180"/>
      <c r="S2" s="8"/>
      <c r="T2" s="8"/>
    </row>
    <row r="3" spans="1:20" ht="15.75" x14ac:dyDescent="0.25">
      <c r="A3" s="8"/>
      <c r="B3" s="23"/>
      <c r="C3" s="23"/>
      <c r="D3" s="23"/>
      <c r="E3" s="20"/>
      <c r="F3" s="20"/>
      <c r="G3" s="20"/>
      <c r="H3" s="20"/>
      <c r="I3" s="20"/>
      <c r="J3" s="20"/>
      <c r="K3" s="20"/>
      <c r="L3" s="20"/>
      <c r="M3" s="20"/>
      <c r="N3" s="20"/>
      <c r="O3" s="20"/>
      <c r="P3" s="20"/>
      <c r="Q3" s="8"/>
      <c r="R3" s="24"/>
      <c r="S3" s="9" t="str">
        <f>CoverSheet!A7</f>
        <v>v:1.0</v>
      </c>
      <c r="T3" s="8"/>
    </row>
    <row r="4" spans="1:20" x14ac:dyDescent="0.25">
      <c r="D4" s="15"/>
      <c r="E4" s="15"/>
      <c r="F4" s="15"/>
      <c r="G4" s="15"/>
      <c r="H4" s="15"/>
      <c r="I4" s="15"/>
      <c r="J4" s="15"/>
      <c r="K4" s="15"/>
      <c r="L4" s="15"/>
      <c r="M4" s="15"/>
      <c r="N4" s="15"/>
      <c r="O4" s="15"/>
      <c r="P4" s="15"/>
    </row>
    <row r="5" spans="1:20" x14ac:dyDescent="0.25">
      <c r="D5" s="15"/>
      <c r="E5" s="27" t="s">
        <v>53</v>
      </c>
      <c r="F5" s="15"/>
      <c r="G5" s="28">
        <f>CoverSheet!D11</f>
        <v>0</v>
      </c>
      <c r="H5" s="15"/>
      <c r="I5" s="15"/>
      <c r="J5" s="15"/>
      <c r="K5" s="15"/>
      <c r="L5" s="15"/>
      <c r="M5" s="15"/>
      <c r="N5" s="15"/>
      <c r="O5" s="15"/>
      <c r="P5" s="15"/>
      <c r="R5" s="70" t="s">
        <v>1116</v>
      </c>
      <c r="T5" s="11" t="str">
        <f>IF(COUNTIF(T6:T344,"R")&gt;0,"R","G")</f>
        <v>R</v>
      </c>
    </row>
    <row r="6" spans="1:20" x14ac:dyDescent="0.25">
      <c r="D6" s="15"/>
      <c r="E6" s="27" t="s">
        <v>54</v>
      </c>
      <c r="F6" s="15"/>
      <c r="G6" s="15" t="str">
        <f>CoverSheet!D15</f>
        <v>01/01/2025 - 31/12/2025</v>
      </c>
      <c r="H6" s="15"/>
      <c r="I6" s="15"/>
      <c r="J6" s="15"/>
      <c r="K6" s="15"/>
      <c r="L6" s="15"/>
      <c r="M6" s="15"/>
      <c r="N6" s="15"/>
      <c r="O6" s="15"/>
      <c r="P6" s="15"/>
    </row>
    <row r="7" spans="1:20" ht="15.75" thickBot="1" x14ac:dyDescent="0.3">
      <c r="A7" s="29"/>
      <c r="B7" s="30"/>
      <c r="C7" s="30"/>
      <c r="D7" s="31"/>
      <c r="E7" s="31"/>
      <c r="F7" s="31"/>
      <c r="G7" s="31"/>
      <c r="H7" s="31"/>
      <c r="I7" s="31"/>
      <c r="J7" s="31"/>
      <c r="K7" s="31"/>
      <c r="L7" s="31"/>
      <c r="M7" s="31"/>
      <c r="N7" s="31"/>
      <c r="O7" s="31"/>
      <c r="P7" s="31"/>
      <c r="Q7" s="29"/>
      <c r="R7" s="33"/>
      <c r="S7" s="29"/>
    </row>
    <row r="8" spans="1:20" ht="15.75" thickTop="1" x14ac:dyDescent="0.25">
      <c r="B8" s="34"/>
      <c r="C8" s="34"/>
      <c r="D8" s="15"/>
      <c r="E8" s="15"/>
      <c r="F8" s="15"/>
      <c r="G8" s="15"/>
      <c r="H8" s="15"/>
      <c r="I8" s="15"/>
      <c r="J8" s="15"/>
      <c r="K8" s="15"/>
      <c r="L8" s="15"/>
      <c r="M8" s="15"/>
      <c r="N8" s="15"/>
      <c r="O8" s="15"/>
      <c r="P8" s="15"/>
      <c r="R8" s="35"/>
    </row>
    <row r="9" spans="1:20" x14ac:dyDescent="0.25">
      <c r="B9" s="46" t="s">
        <v>1049</v>
      </c>
      <c r="C9" s="46"/>
      <c r="D9" s="15"/>
      <c r="E9" s="15"/>
      <c r="F9" s="15"/>
      <c r="G9" s="15"/>
      <c r="H9" s="15"/>
      <c r="I9" s="15"/>
      <c r="J9" s="15"/>
      <c r="K9" s="15"/>
      <c r="L9" s="15"/>
      <c r="M9" s="15"/>
      <c r="N9" s="15"/>
      <c r="O9" s="15"/>
      <c r="P9" s="15"/>
    </row>
    <row r="10" spans="1:20" x14ac:dyDescent="0.25">
      <c r="B10" s="34"/>
      <c r="C10" s="34"/>
      <c r="D10" s="15"/>
      <c r="E10" s="15"/>
      <c r="F10" s="15"/>
      <c r="G10" s="15"/>
      <c r="H10" s="15"/>
      <c r="I10" s="15"/>
      <c r="J10" s="15"/>
      <c r="K10" s="15"/>
      <c r="L10" s="15"/>
      <c r="M10" s="15"/>
      <c r="N10" s="15"/>
      <c r="O10" s="15"/>
      <c r="P10" s="15"/>
      <c r="R10" s="36"/>
    </row>
    <row r="11" spans="1:20" ht="19.5" thickBot="1" x14ac:dyDescent="0.3">
      <c r="A11" s="37"/>
      <c r="B11" s="38" t="s">
        <v>55</v>
      </c>
      <c r="C11" s="38"/>
      <c r="D11" s="39" t="s">
        <v>56</v>
      </c>
      <c r="E11" s="40"/>
      <c r="F11" s="40"/>
      <c r="G11" s="40"/>
      <c r="H11" s="40"/>
      <c r="I11" s="40"/>
      <c r="J11" s="40"/>
      <c r="K11" s="40"/>
      <c r="L11" s="40"/>
      <c r="M11" s="40"/>
      <c r="N11" s="40"/>
      <c r="O11" s="40"/>
      <c r="P11" s="40"/>
      <c r="Q11" s="37"/>
      <c r="R11" s="42"/>
      <c r="S11" s="37"/>
    </row>
    <row r="12" spans="1:20" x14ac:dyDescent="0.25">
      <c r="B12" s="34"/>
      <c r="C12" s="34"/>
      <c r="R12" s="36"/>
    </row>
    <row r="13" spans="1:20" x14ac:dyDescent="0.25">
      <c r="B13" s="15" t="s">
        <v>58</v>
      </c>
      <c r="D13" s="197" t="s">
        <v>253</v>
      </c>
      <c r="E13" s="197"/>
      <c r="F13" s="197"/>
      <c r="G13" s="197"/>
      <c r="H13" s="197"/>
      <c r="I13" s="197"/>
      <c r="J13" s="197"/>
      <c r="K13" s="197"/>
      <c r="L13" s="197"/>
      <c r="M13" s="197"/>
      <c r="N13" s="197"/>
      <c r="O13" s="197"/>
      <c r="R13" s="16"/>
      <c r="T13" s="11" t="str">
        <f>IF(ISBLANK(R13),"R","G")</f>
        <v>R</v>
      </c>
    </row>
    <row r="14" spans="1:20" x14ac:dyDescent="0.25">
      <c r="F14" s="54"/>
      <c r="G14" s="54"/>
      <c r="H14" s="54"/>
      <c r="I14" s="54"/>
      <c r="J14" s="54"/>
      <c r="K14" s="54"/>
      <c r="L14" s="54"/>
      <c r="M14" s="54"/>
      <c r="N14" s="54"/>
      <c r="O14" s="54"/>
      <c r="P14" s="54"/>
    </row>
    <row r="15" spans="1:20" x14ac:dyDescent="0.25">
      <c r="B15" s="15" t="s">
        <v>59</v>
      </c>
      <c r="D15" s="197" t="s">
        <v>71</v>
      </c>
      <c r="E15" s="197"/>
      <c r="F15" s="197"/>
      <c r="G15" s="197"/>
      <c r="H15" s="197"/>
      <c r="I15" s="197"/>
      <c r="J15" s="197"/>
      <c r="K15" s="197"/>
      <c r="L15" s="197"/>
      <c r="M15" s="197"/>
      <c r="N15" s="197"/>
      <c r="O15" s="197"/>
      <c r="R15" s="16"/>
      <c r="T15" s="11" t="str">
        <f>IF(ISBLANK(R15),"R","G")</f>
        <v>R</v>
      </c>
    </row>
    <row r="16" spans="1:20" x14ac:dyDescent="0.25">
      <c r="F16" s="54"/>
      <c r="G16" s="54"/>
      <c r="H16" s="54"/>
      <c r="I16" s="54"/>
      <c r="J16" s="54"/>
      <c r="K16" s="54"/>
      <c r="L16" s="54"/>
      <c r="M16" s="54"/>
      <c r="N16" s="54"/>
      <c r="O16" s="54"/>
      <c r="P16" s="54"/>
    </row>
    <row r="17" spans="2:20" x14ac:dyDescent="0.25">
      <c r="B17" s="15" t="s">
        <v>60</v>
      </c>
      <c r="D17" s="197" t="s">
        <v>72</v>
      </c>
      <c r="E17" s="197"/>
      <c r="F17" s="197"/>
      <c r="G17" s="197"/>
      <c r="H17" s="197"/>
      <c r="I17" s="197"/>
      <c r="J17" s="197"/>
      <c r="K17" s="197"/>
      <c r="L17" s="197"/>
      <c r="M17" s="197"/>
      <c r="N17" s="197"/>
      <c r="O17" s="197"/>
      <c r="R17" s="16"/>
      <c r="T17" s="11" t="str">
        <f>IF(OR(ISBLANK(R17),AND(R17&lt;&gt;"Yes",R17&lt;&gt;"No")),"R","G")</f>
        <v>R</v>
      </c>
    </row>
    <row r="18" spans="2:20" x14ac:dyDescent="0.25">
      <c r="F18" s="54"/>
      <c r="G18" s="54"/>
      <c r="H18" s="54"/>
      <c r="I18" s="54"/>
      <c r="J18" s="54"/>
      <c r="K18" s="54"/>
      <c r="L18" s="54"/>
      <c r="M18" s="54"/>
      <c r="N18" s="54"/>
      <c r="O18" s="54"/>
      <c r="P18" s="54"/>
    </row>
    <row r="19" spans="2:20" ht="84.75" customHeight="1" x14ac:dyDescent="0.25">
      <c r="B19" s="15" t="s">
        <v>61</v>
      </c>
      <c r="D19" s="197" t="s">
        <v>73</v>
      </c>
      <c r="E19" s="197"/>
      <c r="F19" s="197"/>
      <c r="G19" s="197"/>
      <c r="H19" s="197"/>
      <c r="I19" s="197"/>
      <c r="J19" s="197"/>
      <c r="K19" s="197"/>
      <c r="L19" s="197"/>
      <c r="M19" s="197"/>
      <c r="N19" s="197"/>
      <c r="O19" s="197"/>
      <c r="R19" s="16"/>
      <c r="T19" s="11" t="str">
        <f>IF(OR(AND(R17="Yes",ISBLANK(R19)),AND(R17&lt;&gt;"Yes",NOT(ISBLANK(R19)))),"R","G")</f>
        <v>G</v>
      </c>
    </row>
    <row r="20" spans="2:20" x14ac:dyDescent="0.25">
      <c r="D20" s="54"/>
      <c r="E20" s="54"/>
      <c r="F20" s="54"/>
      <c r="G20" s="54"/>
      <c r="H20" s="54"/>
      <c r="I20" s="54"/>
      <c r="J20" s="54"/>
      <c r="K20" s="54"/>
      <c r="L20" s="54"/>
      <c r="M20" s="54"/>
      <c r="N20" s="54"/>
      <c r="O20" s="54"/>
      <c r="P20" s="54"/>
    </row>
    <row r="21" spans="2:20" x14ac:dyDescent="0.25">
      <c r="B21" s="15" t="s">
        <v>63</v>
      </c>
      <c r="D21" s="197" t="s">
        <v>74</v>
      </c>
      <c r="E21" s="197"/>
      <c r="F21" s="197"/>
      <c r="G21" s="197"/>
      <c r="H21" s="197"/>
      <c r="I21" s="197"/>
      <c r="J21" s="197"/>
      <c r="K21" s="197"/>
      <c r="L21" s="197"/>
      <c r="M21" s="197"/>
      <c r="N21" s="197"/>
      <c r="O21" s="197"/>
      <c r="R21" s="16"/>
      <c r="T21" s="11" t="str">
        <f>IF(OR(ISBLANK(R21),AND(R21&lt;&gt;"Yes",R21&lt;&gt;"No")),"R","G")</f>
        <v>R</v>
      </c>
    </row>
    <row r="22" spans="2:20" x14ac:dyDescent="0.25">
      <c r="F22" s="54"/>
      <c r="G22" s="54"/>
      <c r="H22" s="54"/>
      <c r="I22" s="54"/>
      <c r="J22" s="54"/>
      <c r="K22" s="54"/>
      <c r="L22" s="54"/>
      <c r="M22" s="54"/>
      <c r="N22" s="54"/>
      <c r="O22" s="54"/>
      <c r="P22" s="54"/>
    </row>
    <row r="23" spans="2:20" ht="30" customHeight="1" x14ac:dyDescent="0.25">
      <c r="B23" s="15" t="s">
        <v>64</v>
      </c>
      <c r="D23" s="184" t="s">
        <v>75</v>
      </c>
      <c r="E23" s="184"/>
      <c r="F23" s="184"/>
      <c r="G23" s="184"/>
      <c r="H23" s="184"/>
      <c r="I23" s="184"/>
      <c r="J23" s="184"/>
      <c r="K23" s="184"/>
      <c r="L23" s="184"/>
      <c r="M23" s="184"/>
      <c r="N23" s="184"/>
      <c r="O23" s="184"/>
      <c r="P23" s="54"/>
      <c r="R23" s="16"/>
      <c r="T23" s="11" t="str">
        <f>IF(ISBLANK(R23),"R","G")</f>
        <v>R</v>
      </c>
    </row>
    <row r="24" spans="2:20" x14ac:dyDescent="0.25">
      <c r="D24" s="54"/>
      <c r="E24" s="54"/>
      <c r="F24" s="54"/>
      <c r="G24" s="54"/>
      <c r="H24" s="54"/>
      <c r="I24" s="54"/>
      <c r="J24" s="54"/>
      <c r="K24" s="54"/>
      <c r="L24" s="54"/>
      <c r="M24" s="54"/>
      <c r="N24" s="54"/>
      <c r="O24" s="54"/>
      <c r="P24" s="54"/>
    </row>
    <row r="25" spans="2:20" x14ac:dyDescent="0.25">
      <c r="B25" s="15" t="s">
        <v>65</v>
      </c>
      <c r="D25" s="184" t="s">
        <v>76</v>
      </c>
      <c r="E25" s="184"/>
      <c r="F25" s="184"/>
      <c r="G25" s="184"/>
      <c r="H25" s="184"/>
      <c r="I25" s="184"/>
      <c r="J25" s="184"/>
      <c r="K25" s="184"/>
      <c r="L25" s="184"/>
      <c r="M25" s="184"/>
      <c r="N25" s="184"/>
      <c r="O25" s="184"/>
      <c r="P25" s="54"/>
      <c r="R25" s="16"/>
      <c r="T25" s="11" t="str">
        <f>IF(ISBLANK(R25),"R","G")</f>
        <v>R</v>
      </c>
    </row>
    <row r="26" spans="2:20" x14ac:dyDescent="0.25">
      <c r="F26" s="54"/>
      <c r="G26" s="54"/>
      <c r="H26" s="54"/>
      <c r="I26" s="54"/>
      <c r="J26" s="54"/>
      <c r="K26" s="54"/>
      <c r="L26" s="54"/>
      <c r="M26" s="54"/>
      <c r="N26" s="54"/>
      <c r="O26" s="54"/>
      <c r="P26" s="54"/>
    </row>
    <row r="27" spans="2:20" x14ac:dyDescent="0.25">
      <c r="B27" s="15" t="s">
        <v>66</v>
      </c>
      <c r="D27" s="184" t="s">
        <v>1276</v>
      </c>
      <c r="E27" s="184"/>
      <c r="F27" s="184"/>
      <c r="G27" s="184"/>
      <c r="H27" s="184"/>
      <c r="I27" s="184"/>
      <c r="J27" s="184"/>
      <c r="K27" s="184"/>
      <c r="L27" s="184"/>
      <c r="M27" s="184"/>
      <c r="N27" s="184"/>
      <c r="O27" s="184"/>
      <c r="P27" s="54"/>
      <c r="R27" s="129"/>
      <c r="T27" s="11" t="str">
        <f>IF(ISBLANK(R27),"R","G")</f>
        <v>R</v>
      </c>
    </row>
    <row r="28" spans="2:20" ht="45.75" customHeight="1" x14ac:dyDescent="0.25">
      <c r="D28" s="200" t="s">
        <v>1220</v>
      </c>
      <c r="E28" s="200"/>
      <c r="F28" s="200"/>
      <c r="G28" s="200"/>
      <c r="H28" s="200"/>
      <c r="I28" s="200"/>
      <c r="J28" s="200"/>
      <c r="K28" s="200"/>
      <c r="L28" s="200"/>
      <c r="M28" s="200"/>
      <c r="N28" s="200"/>
      <c r="O28" s="200"/>
      <c r="P28" s="54"/>
    </row>
    <row r="29" spans="2:20" x14ac:dyDescent="0.25">
      <c r="F29" s="54"/>
      <c r="G29" s="54"/>
      <c r="H29" s="54"/>
      <c r="I29" s="54"/>
      <c r="J29" s="54"/>
      <c r="K29" s="54"/>
      <c r="L29" s="54"/>
      <c r="M29" s="54"/>
      <c r="N29" s="54"/>
      <c r="O29" s="54"/>
      <c r="P29" s="54"/>
    </row>
    <row r="30" spans="2:20" ht="32.25" customHeight="1" x14ac:dyDescent="0.25">
      <c r="B30" s="15" t="s">
        <v>67</v>
      </c>
      <c r="D30" s="184" t="s">
        <v>1277</v>
      </c>
      <c r="E30" s="184"/>
      <c r="F30" s="184"/>
      <c r="G30" s="184"/>
      <c r="H30" s="184"/>
      <c r="I30" s="184"/>
      <c r="J30" s="184"/>
      <c r="K30" s="184"/>
      <c r="L30" s="184"/>
      <c r="M30" s="184"/>
      <c r="N30" s="184"/>
      <c r="O30" s="184"/>
      <c r="P30" s="54"/>
      <c r="R30" s="129"/>
      <c r="T30" s="11" t="str">
        <f>IF(OR(AND(R27&gt;0,ISBLANK(R30)),AND(R27&lt;=0,NOT(ISBLANK(R30)))),"R","G")</f>
        <v>G</v>
      </c>
    </row>
    <row r="31" spans="2:20" ht="45" customHeight="1" x14ac:dyDescent="0.25">
      <c r="D31" s="200" t="s">
        <v>1220</v>
      </c>
      <c r="E31" s="200"/>
      <c r="F31" s="200"/>
      <c r="G31" s="200"/>
      <c r="H31" s="200"/>
      <c r="I31" s="200"/>
      <c r="J31" s="200"/>
      <c r="K31" s="200"/>
      <c r="L31" s="200"/>
      <c r="M31" s="200"/>
      <c r="N31" s="200"/>
      <c r="O31" s="200"/>
      <c r="P31" s="54"/>
    </row>
    <row r="32" spans="2:20" x14ac:dyDescent="0.25">
      <c r="F32" s="54"/>
      <c r="G32" s="54"/>
      <c r="H32" s="54"/>
      <c r="I32" s="54"/>
      <c r="J32" s="54"/>
      <c r="K32" s="54"/>
      <c r="L32" s="54"/>
      <c r="M32" s="54"/>
      <c r="N32" s="54"/>
      <c r="O32" s="54"/>
      <c r="P32" s="54"/>
    </row>
    <row r="33" spans="1:20" ht="35.25" customHeight="1" x14ac:dyDescent="0.25">
      <c r="B33" s="15" t="s">
        <v>68</v>
      </c>
      <c r="D33" s="184" t="s">
        <v>1286</v>
      </c>
      <c r="E33" s="184"/>
      <c r="F33" s="184"/>
      <c r="G33" s="184"/>
      <c r="H33" s="184"/>
      <c r="I33" s="184"/>
      <c r="J33" s="184"/>
      <c r="K33" s="184"/>
      <c r="L33" s="184"/>
      <c r="M33" s="184"/>
      <c r="N33" s="184"/>
      <c r="O33" s="184"/>
      <c r="P33" s="54"/>
      <c r="R33" s="16"/>
      <c r="T33" s="11" t="str">
        <f>IF(ISBLANK(R33),"R","G")</f>
        <v>R</v>
      </c>
    </row>
    <row r="34" spans="1:20" x14ac:dyDescent="0.25">
      <c r="F34" s="54"/>
      <c r="G34" s="54"/>
      <c r="H34" s="54"/>
      <c r="I34" s="54"/>
      <c r="J34" s="54"/>
      <c r="K34" s="54"/>
      <c r="L34" s="54"/>
      <c r="M34" s="54"/>
      <c r="N34" s="54"/>
      <c r="O34" s="54"/>
      <c r="P34" s="54"/>
    </row>
    <row r="35" spans="1:20" ht="27" customHeight="1" x14ac:dyDescent="0.25">
      <c r="B35" s="15" t="s">
        <v>69</v>
      </c>
      <c r="D35" s="184" t="s">
        <v>1278</v>
      </c>
      <c r="E35" s="184"/>
      <c r="F35" s="184"/>
      <c r="G35" s="184"/>
      <c r="H35" s="184"/>
      <c r="I35" s="184"/>
      <c r="J35" s="184"/>
      <c r="K35" s="184"/>
      <c r="L35" s="184"/>
      <c r="M35" s="184"/>
      <c r="N35" s="184"/>
      <c r="O35" s="184"/>
      <c r="P35" s="54"/>
      <c r="R35" s="16"/>
      <c r="T35" s="11" t="str">
        <f>IF(OR(ISBLANK(R35),AND(R35&lt;&gt;"Yes",R35&lt;&gt;"No")),"R","G")</f>
        <v>R</v>
      </c>
    </row>
    <row r="36" spans="1:20" x14ac:dyDescent="0.25">
      <c r="F36" s="54"/>
      <c r="G36" s="54"/>
      <c r="H36" s="54"/>
      <c r="I36" s="54"/>
      <c r="J36" s="54"/>
      <c r="K36" s="54"/>
      <c r="L36" s="54"/>
      <c r="M36" s="54"/>
      <c r="N36" s="54"/>
      <c r="O36" s="54"/>
      <c r="P36" s="54"/>
    </row>
    <row r="37" spans="1:20" ht="44.25" customHeight="1" x14ac:dyDescent="0.25">
      <c r="B37" s="15" t="s">
        <v>70</v>
      </c>
      <c r="D37" s="197" t="s">
        <v>1238</v>
      </c>
      <c r="E37" s="197"/>
      <c r="F37" s="197"/>
      <c r="G37" s="197"/>
      <c r="H37" s="197"/>
      <c r="I37" s="197"/>
      <c r="J37" s="197"/>
      <c r="K37" s="197"/>
      <c r="L37" s="197"/>
      <c r="M37" s="197"/>
      <c r="N37" s="197"/>
      <c r="O37" s="197"/>
      <c r="R37" s="16"/>
      <c r="T37" s="11" t="str">
        <f>IF(OR(AND(R35="Yes",ISBLANK(R37)),AND(R35&lt;&gt;"Yes",NOT(ISBLANK(R37)))),"R","G")</f>
        <v>G</v>
      </c>
    </row>
    <row r="38" spans="1:20" x14ac:dyDescent="0.25">
      <c r="B38" s="10"/>
      <c r="C38" s="10"/>
      <c r="D38" s="10"/>
      <c r="E38" s="10"/>
      <c r="F38" s="10"/>
      <c r="G38" s="10"/>
      <c r="H38" s="10"/>
      <c r="I38" s="10"/>
      <c r="J38" s="10"/>
      <c r="K38" s="10"/>
      <c r="L38" s="10"/>
      <c r="M38" s="10"/>
      <c r="N38" s="10"/>
      <c r="O38" s="10"/>
      <c r="P38" s="10"/>
      <c r="R38" s="10"/>
      <c r="T38" s="11"/>
    </row>
    <row r="39" spans="1:20" ht="7.35" customHeight="1" x14ac:dyDescent="0.25">
      <c r="B39" s="71"/>
      <c r="C39" s="71"/>
      <c r="D39" s="15"/>
      <c r="E39" s="15"/>
      <c r="F39" s="15"/>
      <c r="G39" s="15"/>
      <c r="H39" s="15"/>
      <c r="I39" s="15"/>
      <c r="J39" s="15"/>
      <c r="K39" s="15"/>
      <c r="L39" s="15"/>
      <c r="M39" s="72"/>
      <c r="N39" s="72"/>
      <c r="O39" s="72"/>
      <c r="P39" s="72"/>
      <c r="Q39" s="73"/>
      <c r="R39" s="74"/>
    </row>
    <row r="40" spans="1:20" ht="7.15" customHeight="1" x14ac:dyDescent="0.25">
      <c r="A40" s="75"/>
      <c r="B40" s="76"/>
      <c r="C40" s="76"/>
      <c r="D40" s="77"/>
      <c r="E40" s="77"/>
      <c r="F40" s="77"/>
      <c r="G40" s="77"/>
      <c r="H40" s="77"/>
      <c r="I40" s="77"/>
      <c r="J40" s="77"/>
      <c r="K40" s="77"/>
      <c r="L40" s="77"/>
      <c r="M40" s="77"/>
      <c r="N40" s="77"/>
      <c r="O40" s="77"/>
      <c r="P40" s="77"/>
      <c r="Q40" s="75"/>
      <c r="R40" s="78"/>
      <c r="S40" s="75"/>
      <c r="T40" s="12"/>
    </row>
    <row r="41" spans="1:20" ht="7.35" customHeight="1" x14ac:dyDescent="0.25">
      <c r="B41" s="71"/>
      <c r="C41" s="71"/>
      <c r="D41" s="15"/>
      <c r="E41" s="15"/>
      <c r="F41" s="15"/>
      <c r="G41" s="15"/>
      <c r="H41" s="15"/>
      <c r="I41" s="15"/>
      <c r="J41" s="15"/>
      <c r="K41" s="15"/>
      <c r="L41" s="15"/>
      <c r="M41" s="15"/>
      <c r="N41" s="15"/>
      <c r="O41" s="15"/>
      <c r="P41" s="15"/>
      <c r="R41" s="74"/>
    </row>
    <row r="42" spans="1:20" ht="19.5" thickBot="1" x14ac:dyDescent="0.3">
      <c r="A42" s="37"/>
      <c r="B42" s="38" t="s">
        <v>92</v>
      </c>
      <c r="C42" s="38"/>
      <c r="D42" s="39" t="s">
        <v>93</v>
      </c>
      <c r="E42" s="40"/>
      <c r="F42" s="40"/>
      <c r="G42" s="40"/>
      <c r="H42" s="40"/>
      <c r="I42" s="40"/>
      <c r="J42" s="40"/>
      <c r="K42" s="40"/>
      <c r="L42" s="40"/>
      <c r="M42" s="40"/>
      <c r="N42" s="40"/>
      <c r="O42" s="40"/>
      <c r="P42" s="40"/>
      <c r="Q42" s="37"/>
      <c r="R42" s="42"/>
      <c r="S42" s="37"/>
    </row>
    <row r="43" spans="1:20" x14ac:dyDescent="0.25"/>
    <row r="44" spans="1:20" x14ac:dyDescent="0.25">
      <c r="B44" s="15" t="s">
        <v>94</v>
      </c>
      <c r="D44" s="197" t="s">
        <v>1279</v>
      </c>
      <c r="E44" s="197"/>
      <c r="F44" s="197"/>
      <c r="G44" s="197"/>
      <c r="H44" s="197"/>
      <c r="I44" s="197"/>
      <c r="J44" s="197"/>
      <c r="K44" s="197"/>
      <c r="L44" s="197"/>
      <c r="M44" s="197"/>
      <c r="N44" s="197"/>
      <c r="O44" s="197"/>
      <c r="R44" s="16"/>
      <c r="T44" s="11" t="str">
        <f>IF(ISBLANK(R44),"R","G")</f>
        <v>R</v>
      </c>
    </row>
    <row r="45" spans="1:20" x14ac:dyDescent="0.25"/>
    <row r="46" spans="1:20" ht="45.75" customHeight="1" x14ac:dyDescent="0.25">
      <c r="B46" s="15" t="s">
        <v>95</v>
      </c>
      <c r="D46" s="197" t="s">
        <v>1237</v>
      </c>
      <c r="E46" s="197"/>
      <c r="F46" s="197"/>
      <c r="G46" s="197"/>
      <c r="H46" s="197"/>
      <c r="I46" s="197"/>
      <c r="J46" s="197"/>
      <c r="K46" s="197"/>
      <c r="L46" s="197"/>
      <c r="M46" s="197"/>
      <c r="N46" s="197"/>
      <c r="O46" s="197"/>
      <c r="R46" s="16"/>
      <c r="T46" s="11" t="str">
        <f>IF(OR(AND(OR(R44="Yes, outsourcing within the group",R44="Yes, outsourcing outside the group"),ISBLANK(R46)),AND(AND(R44&lt;&gt;"Yes, outsourcing within the group",R44&lt;&gt;"Yes, outsourcing outside the group"),NOT(ISBLANK(R46)))),"R","G")</f>
        <v>G</v>
      </c>
    </row>
    <row r="47" spans="1:20" x14ac:dyDescent="0.25"/>
    <row r="48" spans="1:20" ht="33.75" customHeight="1" x14ac:dyDescent="0.25">
      <c r="B48" s="15" t="s">
        <v>96</v>
      </c>
      <c r="D48" s="184" t="s">
        <v>1235</v>
      </c>
      <c r="E48" s="184"/>
      <c r="F48" s="184"/>
      <c r="G48" s="184"/>
      <c r="H48" s="184"/>
      <c r="I48" s="184"/>
      <c r="J48" s="184"/>
      <c r="K48" s="184"/>
      <c r="L48" s="184"/>
      <c r="M48" s="184"/>
      <c r="N48" s="184"/>
      <c r="O48" s="184"/>
      <c r="P48" s="54"/>
      <c r="R48" s="52"/>
      <c r="T48" s="11" t="str" cm="1">
        <f t="array" ref="T48">IF(OR(AND(R44="Yes, outsourcing outside the group",OR(OR(ISBLANK(R49:R56)),AND(R49:R56="No"),COUNTIFS(R49:R56,"&lt;&gt;No",R49:R56,"&lt;&gt;Yes")&gt;0)),AND(R44&lt;&gt;"Yes, outsourcing outside the group",NOT(ISBLANK(R49:R56)))),"R","G")</f>
        <v>G</v>
      </c>
    </row>
    <row r="49" spans="2:20" x14ac:dyDescent="0.25">
      <c r="B49" s="46" t="s">
        <v>289</v>
      </c>
      <c r="C49" s="46"/>
      <c r="D49" s="121"/>
      <c r="E49" s="84" t="s">
        <v>264</v>
      </c>
      <c r="R49" s="16"/>
    </row>
    <row r="50" spans="2:20" x14ac:dyDescent="0.25">
      <c r="B50" s="46" t="s">
        <v>290</v>
      </c>
      <c r="C50" s="46"/>
      <c r="D50" s="121"/>
      <c r="E50" s="84" t="s">
        <v>271</v>
      </c>
      <c r="R50" s="16"/>
    </row>
    <row r="51" spans="2:20" x14ac:dyDescent="0.25">
      <c r="B51" s="46" t="s">
        <v>291</v>
      </c>
      <c r="C51" s="46"/>
      <c r="D51" s="121"/>
      <c r="E51" s="84" t="s">
        <v>265</v>
      </c>
      <c r="R51" s="16"/>
    </row>
    <row r="52" spans="2:20" x14ac:dyDescent="0.25">
      <c r="B52" s="46" t="s">
        <v>292</v>
      </c>
      <c r="C52" s="46"/>
      <c r="D52" s="121"/>
      <c r="E52" s="84" t="s">
        <v>266</v>
      </c>
      <c r="R52" s="16"/>
    </row>
    <row r="53" spans="2:20" x14ac:dyDescent="0.25">
      <c r="B53" s="46" t="s">
        <v>293</v>
      </c>
      <c r="C53" s="46"/>
      <c r="D53" s="121"/>
      <c r="E53" s="84" t="s">
        <v>267</v>
      </c>
      <c r="R53" s="16"/>
    </row>
    <row r="54" spans="2:20" x14ac:dyDescent="0.25">
      <c r="B54" s="46" t="s">
        <v>294</v>
      </c>
      <c r="C54" s="46"/>
      <c r="D54" s="121"/>
      <c r="E54" s="84" t="s">
        <v>268</v>
      </c>
      <c r="R54" s="16"/>
    </row>
    <row r="55" spans="2:20" x14ac:dyDescent="0.25">
      <c r="B55" s="46" t="s">
        <v>295</v>
      </c>
      <c r="C55" s="46"/>
      <c r="D55" s="121"/>
      <c r="E55" s="84" t="s">
        <v>269</v>
      </c>
      <c r="R55" s="16"/>
    </row>
    <row r="56" spans="2:20" x14ac:dyDescent="0.25">
      <c r="B56" s="46" t="s">
        <v>296</v>
      </c>
      <c r="C56" s="46"/>
      <c r="D56" s="121"/>
      <c r="E56" s="84" t="s">
        <v>270</v>
      </c>
      <c r="R56" s="16"/>
    </row>
    <row r="57" spans="2:20" x14ac:dyDescent="0.25"/>
    <row r="58" spans="2:20" ht="32.25" customHeight="1" x14ac:dyDescent="0.25">
      <c r="B58" s="15" t="s">
        <v>97</v>
      </c>
      <c r="D58" s="184" t="s">
        <v>1235</v>
      </c>
      <c r="E58" s="184"/>
      <c r="F58" s="184"/>
      <c r="G58" s="184"/>
      <c r="H58" s="184"/>
      <c r="I58" s="184"/>
      <c r="J58" s="184"/>
      <c r="K58" s="184"/>
      <c r="L58" s="184"/>
      <c r="M58" s="184"/>
      <c r="N58" s="184"/>
      <c r="O58" s="184"/>
      <c r="P58" s="54"/>
      <c r="T58" s="11" t="str" cm="1">
        <f t="array" ref="T58">IF(OR(AND(R44="Yes, outsourcing within the group",OR(OR(ISBLANK(R59:R66)),AND(R59:R66="No"),COUNTIFS(R59:R66,"&lt;&gt;No",R59:R66,"&lt;&gt;Yes")&gt;0)),AND(R44&lt;&gt;"Yes, outsourcing within the group",NOT(ISBLANK(R59:R66)))),"R","G")</f>
        <v>G</v>
      </c>
    </row>
    <row r="59" spans="2:20" x14ac:dyDescent="0.25">
      <c r="B59" s="46" t="s">
        <v>272</v>
      </c>
      <c r="C59" s="46"/>
      <c r="D59" s="84"/>
      <c r="E59" s="84" t="s">
        <v>264</v>
      </c>
      <c r="R59" s="16"/>
    </row>
    <row r="60" spans="2:20" x14ac:dyDescent="0.25">
      <c r="B60" s="46" t="s">
        <v>273</v>
      </c>
      <c r="C60" s="46"/>
      <c r="D60" s="84"/>
      <c r="E60" s="84" t="s">
        <v>271</v>
      </c>
      <c r="R60" s="16"/>
    </row>
    <row r="61" spans="2:20" x14ac:dyDescent="0.25">
      <c r="B61" s="46" t="s">
        <v>274</v>
      </c>
      <c r="C61" s="46"/>
      <c r="D61" s="84"/>
      <c r="E61" s="84" t="s">
        <v>265</v>
      </c>
      <c r="R61" s="16"/>
    </row>
    <row r="62" spans="2:20" x14ac:dyDescent="0.25">
      <c r="B62" s="46" t="s">
        <v>275</v>
      </c>
      <c r="C62" s="46"/>
      <c r="D62" s="84"/>
      <c r="E62" s="84" t="s">
        <v>266</v>
      </c>
      <c r="R62" s="16"/>
    </row>
    <row r="63" spans="2:20" x14ac:dyDescent="0.25">
      <c r="B63" s="46" t="s">
        <v>276</v>
      </c>
      <c r="C63" s="46"/>
      <c r="D63" s="84"/>
      <c r="E63" s="84" t="s">
        <v>267</v>
      </c>
      <c r="R63" s="16"/>
    </row>
    <row r="64" spans="2:20" x14ac:dyDescent="0.25">
      <c r="B64" s="46" t="s">
        <v>277</v>
      </c>
      <c r="C64" s="46"/>
      <c r="D64" s="84"/>
      <c r="E64" s="84" t="s">
        <v>268</v>
      </c>
      <c r="R64" s="16"/>
    </row>
    <row r="65" spans="2:20" x14ac:dyDescent="0.25">
      <c r="B65" s="46" t="s">
        <v>278</v>
      </c>
      <c r="C65" s="46"/>
      <c r="D65" s="84"/>
      <c r="E65" s="84" t="s">
        <v>269</v>
      </c>
      <c r="R65" s="16"/>
    </row>
    <row r="66" spans="2:20" x14ac:dyDescent="0.25">
      <c r="B66" s="46" t="s">
        <v>279</v>
      </c>
      <c r="C66" s="46"/>
      <c r="D66" s="84"/>
      <c r="E66" s="84" t="s">
        <v>270</v>
      </c>
      <c r="R66" s="16"/>
    </row>
    <row r="67" spans="2:20" x14ac:dyDescent="0.25"/>
    <row r="68" spans="2:20" ht="30.75" customHeight="1" x14ac:dyDescent="0.25">
      <c r="B68" s="15" t="s">
        <v>98</v>
      </c>
      <c r="D68" s="184" t="s">
        <v>1236</v>
      </c>
      <c r="E68" s="184"/>
      <c r="F68" s="184"/>
      <c r="G68" s="184"/>
      <c r="H68" s="184"/>
      <c r="I68" s="184"/>
      <c r="J68" s="184"/>
      <c r="K68" s="184"/>
      <c r="L68" s="184"/>
      <c r="M68" s="184"/>
      <c r="N68" s="184"/>
      <c r="O68" s="184"/>
      <c r="P68" s="54"/>
      <c r="R68" s="16"/>
      <c r="T68" s="11" t="str">
        <f>IF(OR(AND(OR(R44="Yes, outsourcing within the group",R44="Yes, outsourcing outside the group"),ISBLANK(R68)),AND(AND(R44="Yes, outsourcing within the group",R44="Yes, outsourcing outside the group"),NOT(ISBLANK(R68)))),"R","G")</f>
        <v>G</v>
      </c>
    </row>
    <row r="69" spans="2:20" x14ac:dyDescent="0.25"/>
    <row r="70" spans="2:20" ht="24" customHeight="1" x14ac:dyDescent="0.25">
      <c r="B70" s="15" t="s">
        <v>99</v>
      </c>
      <c r="D70" s="197" t="s">
        <v>1239</v>
      </c>
      <c r="E70" s="197"/>
      <c r="F70" s="197"/>
      <c r="G70" s="197"/>
      <c r="H70" s="197"/>
      <c r="I70" s="197"/>
      <c r="J70" s="197"/>
      <c r="K70" s="197"/>
      <c r="L70" s="197"/>
      <c r="M70" s="197"/>
      <c r="N70" s="197"/>
      <c r="O70" s="197"/>
      <c r="P70" s="52"/>
      <c r="R70" s="10"/>
    </row>
    <row r="71" spans="2:20" ht="55.5" customHeight="1" x14ac:dyDescent="0.25">
      <c r="D71" s="201" t="s">
        <v>1349</v>
      </c>
      <c r="E71" s="201"/>
      <c r="F71" s="201"/>
      <c r="G71" s="201"/>
      <c r="H71" s="201"/>
      <c r="I71" s="201"/>
      <c r="J71" s="201"/>
      <c r="K71" s="201"/>
      <c r="L71" s="201"/>
      <c r="M71" s="201"/>
      <c r="N71" s="201"/>
      <c r="O71" s="201"/>
      <c r="P71" s="201"/>
      <c r="R71" s="101"/>
    </row>
    <row r="72" spans="2:20" ht="15" customHeight="1" x14ac:dyDescent="0.25">
      <c r="B72" s="46" t="str">
        <f>$B$70&amp;"-M"</f>
        <v>FI-OS-06-M</v>
      </c>
      <c r="C72" s="46"/>
      <c r="E72" s="189" t="s">
        <v>448</v>
      </c>
      <c r="F72" s="189"/>
      <c r="G72" s="189"/>
      <c r="H72" s="189"/>
      <c r="I72" s="189"/>
      <c r="J72" s="189"/>
      <c r="K72" s="189"/>
      <c r="L72" s="189"/>
      <c r="M72" s="189"/>
      <c r="N72" s="189"/>
      <c r="O72" s="189"/>
      <c r="P72" s="52"/>
      <c r="R72" s="16"/>
      <c r="T72" s="11" t="str">
        <f>IF(OR(AND(ISBLANK(R72),OR($R$44="Yes, outsourcing within the group",$R$44="Yes, outsourcing outside the group")),AND(NOT(ISBLANK(R72)),AND($R$44&lt;&gt;"Yes, outsourcing within the group",$R$44&lt;&gt;"Yes, outsourcing outside the group"))),"R","G")</f>
        <v>G</v>
      </c>
    </row>
    <row r="73" spans="2:20" ht="15" customHeight="1" x14ac:dyDescent="0.25">
      <c r="B73" s="46" t="str">
        <f>$B$70&amp;"-E"</f>
        <v>FI-OS-06-E</v>
      </c>
      <c r="C73" s="46"/>
      <c r="E73" s="189" t="s">
        <v>1084</v>
      </c>
      <c r="F73" s="189"/>
      <c r="G73" s="189"/>
      <c r="H73" s="189"/>
      <c r="I73" s="189"/>
      <c r="J73" s="189"/>
      <c r="K73" s="189"/>
      <c r="L73" s="189"/>
      <c r="M73" s="189"/>
      <c r="N73" s="189"/>
      <c r="O73" s="189"/>
      <c r="P73" s="52"/>
      <c r="R73" s="16"/>
      <c r="T73" s="11" t="str">
        <f t="shared" ref="T73:T75" si="0">IF(OR(AND(ISBLANK(R73),OR($R$44="Yes, outsourcing within the group",$R$44="Yes, outsourcing outside the group")),AND(NOT(ISBLANK(R73)),AND($R$44&lt;&gt;"Yes, outsourcing within the group",$R$44&lt;&gt;"Yes, outsourcing outside the group"))),"R","G")</f>
        <v>G</v>
      </c>
    </row>
    <row r="74" spans="2:20" ht="15" customHeight="1" x14ac:dyDescent="0.25">
      <c r="B74" s="46" t="str">
        <f>$B$70&amp;"-N"</f>
        <v>FI-OS-06-N</v>
      </c>
      <c r="C74" s="46"/>
      <c r="E74" s="189" t="s">
        <v>1085</v>
      </c>
      <c r="F74" s="189"/>
      <c r="G74" s="189"/>
      <c r="H74" s="189"/>
      <c r="I74" s="189"/>
      <c r="J74" s="189"/>
      <c r="K74" s="189"/>
      <c r="L74" s="189"/>
      <c r="M74" s="189"/>
      <c r="N74" s="189"/>
      <c r="O74" s="189"/>
      <c r="P74" s="52"/>
      <c r="R74" s="16"/>
      <c r="T74" s="11" t="str">
        <f t="shared" si="0"/>
        <v>G</v>
      </c>
    </row>
    <row r="75" spans="2:20" ht="26.25" customHeight="1" x14ac:dyDescent="0.25">
      <c r="B75" s="46" t="str">
        <f>$B$70&amp;"-F"</f>
        <v>FI-OS-06-F</v>
      </c>
      <c r="C75" s="46"/>
      <c r="E75" s="189" t="s">
        <v>1086</v>
      </c>
      <c r="F75" s="189"/>
      <c r="G75" s="189"/>
      <c r="H75" s="189"/>
      <c r="I75" s="189"/>
      <c r="J75" s="189"/>
      <c r="K75" s="189"/>
      <c r="L75" s="189"/>
      <c r="M75" s="189"/>
      <c r="N75" s="189"/>
      <c r="O75" s="189"/>
      <c r="P75" s="86"/>
      <c r="R75" s="16"/>
      <c r="T75" s="11" t="str">
        <f t="shared" si="0"/>
        <v>G</v>
      </c>
    </row>
    <row r="76" spans="2:20" x14ac:dyDescent="0.25">
      <c r="B76" s="10"/>
      <c r="C76" s="10"/>
      <c r="D76" s="10"/>
      <c r="E76" s="10"/>
      <c r="F76" s="10"/>
      <c r="G76" s="10"/>
      <c r="H76" s="10"/>
      <c r="I76" s="10"/>
      <c r="J76" s="10"/>
      <c r="K76" s="10"/>
      <c r="L76" s="10"/>
      <c r="M76" s="10"/>
      <c r="N76" s="10"/>
      <c r="O76" s="10"/>
      <c r="P76" s="10"/>
      <c r="R76" s="10"/>
    </row>
    <row r="77" spans="2:20" x14ac:dyDescent="0.25">
      <c r="B77" s="87"/>
      <c r="C77" s="87"/>
      <c r="D77" s="192" t="str">
        <f>IF(R75&lt;&gt;"Yes","",IF(OR(COUNTIFS(G78:G90,"yes")&gt;0,COUNTIFS(K78:K90,"Yes")&gt;0,COUNTIFS(O78:O84,"yes")&gt;0),"","Include at least one 'Yes' next to the below applicable jurisdictions."))</f>
        <v/>
      </c>
      <c r="E77" s="192"/>
      <c r="F77" s="192"/>
      <c r="G77" s="192"/>
      <c r="H77" s="192"/>
      <c r="I77" s="192"/>
      <c r="J77" s="192"/>
      <c r="K77" s="192"/>
      <c r="L77" s="192"/>
      <c r="M77" s="192"/>
      <c r="N77" s="192"/>
      <c r="O77" s="192"/>
      <c r="P77" s="88"/>
      <c r="R77" s="89"/>
      <c r="T77" s="11" t="str">
        <f>IF(D77="","G","R")</f>
        <v>G</v>
      </c>
    </row>
    <row r="78" spans="2:20" ht="25.5" x14ac:dyDescent="0.25">
      <c r="C78" s="90" t="str">
        <f t="shared" ref="C78:C90" si="1">$B$75&amp;"-"&amp;D78</f>
        <v>FI-OS-06-F-AF</v>
      </c>
      <c r="D78" s="91" t="s">
        <v>1093</v>
      </c>
      <c r="E78" s="92" t="s">
        <v>317</v>
      </c>
      <c r="F78" s="93"/>
      <c r="G78" s="16"/>
      <c r="H78" s="90" t="str">
        <f>$B$75&amp;"-"&amp;I78</f>
        <v>FI-OS-06-F-LA</v>
      </c>
      <c r="I78" s="91" t="s">
        <v>1317</v>
      </c>
      <c r="J78" s="92" t="s">
        <v>1312</v>
      </c>
      <c r="K78" s="16"/>
      <c r="L78" s="90" t="str">
        <f>$B$75&amp;"-"&amp;M78</f>
        <v>FI-OS-06-F-TZ</v>
      </c>
      <c r="M78" s="91" t="s">
        <v>1110</v>
      </c>
      <c r="N78" s="92" t="s">
        <v>526</v>
      </c>
      <c r="O78" s="16"/>
      <c r="P78" s="54"/>
      <c r="R78" s="89"/>
      <c r="T78" s="11" t="str" cm="1">
        <f t="array" ref="T78">IF(OR(AND(ISBLANK($G$78:$G$90),ISBLANK($K$78:$K$90),ISBLANK($O$78:$O$88),$R$75="Yes"),AND($R$75&lt;&gt;"Yes",OR(NOT(ISBLANK($G$78:$G$90)),NOT(ISBLANK($K$78:$K$90)),NOT(ISBLANK($O$78:$O$88))))),"R","G")</f>
        <v>G</v>
      </c>
    </row>
    <row r="79" spans="2:20" x14ac:dyDescent="0.25">
      <c r="C79" s="90" t="str">
        <f t="shared" si="1"/>
        <v>FI-OS-06-F-DZ</v>
      </c>
      <c r="D79" s="91" t="s">
        <v>1094</v>
      </c>
      <c r="E79" s="92" t="s">
        <v>319</v>
      </c>
      <c r="F79" s="93"/>
      <c r="G79" s="16"/>
      <c r="H79" s="90" t="str">
        <f t="shared" ref="H79:H90" si="2">$B$75&amp;"-"&amp;I79</f>
        <v>FI-OS-06-F-LB</v>
      </c>
      <c r="I79" s="91" t="s">
        <v>1102</v>
      </c>
      <c r="J79" s="92" t="s">
        <v>434</v>
      </c>
      <c r="K79" s="16"/>
      <c r="L79" s="90" t="str">
        <f t="shared" ref="L79:L84" si="3">$B$75&amp;"-"&amp;M79</f>
        <v>FI-OS-06-F-TT</v>
      </c>
      <c r="M79" s="91" t="s">
        <v>1111</v>
      </c>
      <c r="N79" s="92" t="s">
        <v>532</v>
      </c>
      <c r="O79" s="16"/>
      <c r="P79" s="54"/>
      <c r="R79" s="89"/>
    </row>
    <row r="80" spans="2:20" x14ac:dyDescent="0.25">
      <c r="C80" s="90" t="str">
        <f t="shared" si="1"/>
        <v>FI-OS-06-F-AO</v>
      </c>
      <c r="D80" s="91" t="s">
        <v>1095</v>
      </c>
      <c r="E80" s="92" t="s">
        <v>322</v>
      </c>
      <c r="F80" s="93"/>
      <c r="G80" s="16"/>
      <c r="H80" s="90" t="str">
        <f t="shared" si="2"/>
        <v>FI-OS-06-F-ML</v>
      </c>
      <c r="I80" s="91" t="s">
        <v>1103</v>
      </c>
      <c r="J80" s="92" t="s">
        <v>447</v>
      </c>
      <c r="K80" s="16"/>
      <c r="L80" s="90" t="str">
        <f t="shared" si="3"/>
        <v>FI-OS-06-F-VU</v>
      </c>
      <c r="M80" s="91" t="s">
        <v>1112</v>
      </c>
      <c r="N80" s="92" t="s">
        <v>546</v>
      </c>
      <c r="O80" s="16"/>
      <c r="P80" s="54"/>
      <c r="R80" s="89"/>
    </row>
    <row r="81" spans="1:20" x14ac:dyDescent="0.25">
      <c r="C81" s="90" t="str">
        <f t="shared" si="1"/>
        <v>FI-OS-06-F-BO</v>
      </c>
      <c r="D81" s="91" t="s">
        <v>1316</v>
      </c>
      <c r="E81" s="92" t="s">
        <v>342</v>
      </c>
      <c r="F81" s="93"/>
      <c r="G81" s="16"/>
      <c r="H81" s="90" t="str">
        <f t="shared" si="2"/>
        <v>FI-OS-06-F-MN</v>
      </c>
      <c r="I81" s="91" t="s">
        <v>1315</v>
      </c>
      <c r="J81" s="92" t="s">
        <v>457</v>
      </c>
      <c r="K81" s="16"/>
      <c r="L81" s="90" t="str">
        <f t="shared" si="3"/>
        <v>FI-OS-06-F-VE</v>
      </c>
      <c r="M81" s="91" t="s">
        <v>1113</v>
      </c>
      <c r="N81" s="92" t="s">
        <v>547</v>
      </c>
      <c r="O81" s="16"/>
      <c r="P81" s="54"/>
      <c r="R81" s="89"/>
    </row>
    <row r="82" spans="1:20" x14ac:dyDescent="0.25">
      <c r="C82" s="90" t="str">
        <f t="shared" si="1"/>
        <v>FI-OS-06-F-BG</v>
      </c>
      <c r="D82" s="91" t="s">
        <v>1096</v>
      </c>
      <c r="E82" s="92" t="s">
        <v>349</v>
      </c>
      <c r="F82" s="93"/>
      <c r="G82" s="16"/>
      <c r="H82" s="90" t="str">
        <f t="shared" si="2"/>
        <v>FI-OS-06-F-MZ</v>
      </c>
      <c r="I82" s="91" t="s">
        <v>1104</v>
      </c>
      <c r="J82" s="92" t="s">
        <v>461</v>
      </c>
      <c r="K82" s="16"/>
      <c r="L82" s="90" t="str">
        <f t="shared" si="3"/>
        <v>FI-OS-06-F-VN</v>
      </c>
      <c r="M82" s="91" t="s">
        <v>1114</v>
      </c>
      <c r="N82" s="92" t="s">
        <v>1313</v>
      </c>
      <c r="O82" s="16"/>
      <c r="P82" s="54"/>
      <c r="R82" s="89"/>
    </row>
    <row r="83" spans="1:20" x14ac:dyDescent="0.25">
      <c r="C83" s="90" t="str">
        <f t="shared" si="1"/>
        <v>FI-OS-06-F-BF</v>
      </c>
      <c r="D83" s="91" t="s">
        <v>1097</v>
      </c>
      <c r="E83" s="92" t="s">
        <v>350</v>
      </c>
      <c r="F83" s="93"/>
      <c r="G83" s="16"/>
      <c r="H83" s="90" t="str">
        <f t="shared" si="2"/>
        <v>FI-OS-06-F-MM</v>
      </c>
      <c r="I83" s="91" t="s">
        <v>1105</v>
      </c>
      <c r="J83" s="92" t="s">
        <v>462</v>
      </c>
      <c r="K83" s="16"/>
      <c r="L83" s="90" t="str">
        <f t="shared" si="3"/>
        <v>FI-OS-06-F-VI</v>
      </c>
      <c r="M83" s="91" t="s">
        <v>1319</v>
      </c>
      <c r="N83" s="92" t="s">
        <v>1314</v>
      </c>
      <c r="O83" s="16"/>
      <c r="P83" s="54"/>
      <c r="R83" s="89"/>
    </row>
    <row r="84" spans="1:20" x14ac:dyDescent="0.25">
      <c r="C84" s="90" t="str">
        <f t="shared" si="1"/>
        <v>FI-OS-06-F-CM</v>
      </c>
      <c r="D84" s="91" t="s">
        <v>1098</v>
      </c>
      <c r="E84" s="92" t="s">
        <v>353</v>
      </c>
      <c r="F84" s="93"/>
      <c r="G84" s="16"/>
      <c r="H84" s="90" t="str">
        <f t="shared" si="2"/>
        <v>FI-OS-06-F-NA</v>
      </c>
      <c r="I84" s="91" t="s">
        <v>1106</v>
      </c>
      <c r="J84" s="92" t="s">
        <v>463</v>
      </c>
      <c r="K84" s="16"/>
      <c r="L84" s="90" t="str">
        <f t="shared" si="3"/>
        <v>FI-OS-06-F-YE</v>
      </c>
      <c r="M84" s="91" t="s">
        <v>1115</v>
      </c>
      <c r="N84" s="92" t="s">
        <v>553</v>
      </c>
      <c r="O84" s="16"/>
      <c r="P84" s="54"/>
      <c r="R84" s="89"/>
    </row>
    <row r="85" spans="1:20" ht="38.25" x14ac:dyDescent="0.25">
      <c r="C85" s="90" t="str">
        <f t="shared" si="1"/>
        <v>FI-OS-06-F-CD</v>
      </c>
      <c r="D85" s="91" t="s">
        <v>1099</v>
      </c>
      <c r="E85" s="92" t="s">
        <v>366</v>
      </c>
      <c r="F85" s="93"/>
      <c r="G85" s="16"/>
      <c r="H85" s="90" t="str">
        <f t="shared" si="2"/>
        <v>FI-OS-06-F-NP</v>
      </c>
      <c r="I85" s="91" t="s">
        <v>1318</v>
      </c>
      <c r="J85" s="92" t="s">
        <v>465</v>
      </c>
      <c r="K85" s="16"/>
      <c r="L85" s="54"/>
      <c r="M85" s="54"/>
      <c r="N85" s="54"/>
      <c r="O85" s="54"/>
      <c r="P85" s="54"/>
      <c r="R85" s="89"/>
    </row>
    <row r="86" spans="1:20" x14ac:dyDescent="0.25">
      <c r="C86" s="90" t="str">
        <f t="shared" si="1"/>
        <v>FI-OS-06-F-CI</v>
      </c>
      <c r="D86" s="91" t="s">
        <v>1091</v>
      </c>
      <c r="E86" s="92" t="s">
        <v>369</v>
      </c>
      <c r="F86" s="93"/>
      <c r="G86" s="16"/>
      <c r="H86" s="90" t="str">
        <f t="shared" si="2"/>
        <v>FI-OS-06-F-NG</v>
      </c>
      <c r="I86" s="91" t="s">
        <v>1107</v>
      </c>
      <c r="J86" s="92" t="s">
        <v>472</v>
      </c>
      <c r="K86" s="16"/>
      <c r="L86" s="54"/>
      <c r="M86" s="54"/>
      <c r="N86" s="54"/>
      <c r="O86" s="54"/>
      <c r="P86" s="54"/>
      <c r="R86" s="89"/>
    </row>
    <row r="87" spans="1:20" x14ac:dyDescent="0.25">
      <c r="C87" s="90" t="str">
        <f t="shared" si="1"/>
        <v>FI-OS-06-F-HT</v>
      </c>
      <c r="D87" s="91" t="s">
        <v>1100</v>
      </c>
      <c r="E87" s="92" t="s">
        <v>408</v>
      </c>
      <c r="F87" s="93"/>
      <c r="G87" s="16"/>
      <c r="H87" s="90" t="str">
        <f t="shared" si="2"/>
        <v>FI-OS-06-F-RU</v>
      </c>
      <c r="I87" s="91" t="s">
        <v>1321</v>
      </c>
      <c r="J87" s="92" t="s">
        <v>1320</v>
      </c>
      <c r="K87" s="16"/>
      <c r="L87" s="54"/>
      <c r="M87" s="54"/>
      <c r="N87" s="54"/>
      <c r="O87" s="54"/>
      <c r="P87" s="54"/>
      <c r="R87" s="89"/>
    </row>
    <row r="88" spans="1:20" ht="25.5" x14ac:dyDescent="0.25">
      <c r="C88" s="90" t="str">
        <f t="shared" si="1"/>
        <v>FI-OS-06-F-IR</v>
      </c>
      <c r="D88" s="91" t="s">
        <v>912</v>
      </c>
      <c r="E88" s="92" t="s">
        <v>417</v>
      </c>
      <c r="F88" s="93"/>
      <c r="G88" s="16"/>
      <c r="H88" s="90" t="str">
        <f t="shared" si="2"/>
        <v>FI-OS-06-F-ZA</v>
      </c>
      <c r="I88" s="91" t="s">
        <v>1108</v>
      </c>
      <c r="J88" s="92" t="s">
        <v>513</v>
      </c>
      <c r="K88" s="16"/>
      <c r="L88" s="54"/>
      <c r="M88" s="54"/>
      <c r="N88" s="54"/>
      <c r="O88" s="54"/>
      <c r="P88" s="54"/>
      <c r="R88" s="89"/>
    </row>
    <row r="89" spans="1:20" x14ac:dyDescent="0.25">
      <c r="C89" s="90" t="str">
        <f t="shared" si="1"/>
        <v>FI-OS-06-F-KE</v>
      </c>
      <c r="D89" s="91" t="s">
        <v>1101</v>
      </c>
      <c r="E89" s="92" t="s">
        <v>426</v>
      </c>
      <c r="F89" s="93"/>
      <c r="G89" s="16"/>
      <c r="H89" s="90" t="str">
        <f t="shared" si="2"/>
        <v>FI-OS-06-F-SS</v>
      </c>
      <c r="I89" s="91" t="s">
        <v>1089</v>
      </c>
      <c r="J89" s="92" t="s">
        <v>1088</v>
      </c>
      <c r="K89" s="16"/>
      <c r="L89" s="94"/>
      <c r="M89" s="95"/>
      <c r="N89" s="95"/>
      <c r="O89" s="95"/>
      <c r="P89" s="54"/>
      <c r="R89" s="89"/>
    </row>
    <row r="90" spans="1:20" ht="25.5" x14ac:dyDescent="0.25">
      <c r="C90" s="90" t="str">
        <f t="shared" si="1"/>
        <v>FI-OS-06-F-KP</v>
      </c>
      <c r="D90" s="91" t="s">
        <v>1090</v>
      </c>
      <c r="E90" s="92" t="s">
        <v>428</v>
      </c>
      <c r="F90" s="96"/>
      <c r="G90" s="16"/>
      <c r="H90" s="90" t="str">
        <f t="shared" si="2"/>
        <v>FI-OS-06-F-SY</v>
      </c>
      <c r="I90" s="91" t="s">
        <v>1109</v>
      </c>
      <c r="J90" s="92" t="s">
        <v>523</v>
      </c>
      <c r="K90" s="16"/>
      <c r="L90" s="94"/>
      <c r="M90" s="95"/>
      <c r="N90" s="95"/>
      <c r="O90" s="95"/>
      <c r="P90" s="54"/>
      <c r="R90" s="89"/>
    </row>
    <row r="91" spans="1:20" ht="7.35" customHeight="1" x14ac:dyDescent="0.25">
      <c r="B91" s="71"/>
      <c r="C91" s="71"/>
      <c r="D91" s="15"/>
      <c r="E91" s="15"/>
      <c r="F91" s="15"/>
      <c r="G91" s="15"/>
      <c r="H91" s="15"/>
      <c r="I91" s="15"/>
      <c r="J91" s="15"/>
      <c r="K91" s="15"/>
      <c r="L91" s="15"/>
      <c r="M91" s="72"/>
      <c r="N91" s="72"/>
      <c r="O91" s="72"/>
      <c r="P91" s="72"/>
      <c r="Q91" s="73"/>
      <c r="R91" s="74"/>
    </row>
    <row r="92" spans="1:20" ht="7.15" customHeight="1" x14ac:dyDescent="0.25">
      <c r="A92" s="75"/>
      <c r="B92" s="76"/>
      <c r="C92" s="76"/>
      <c r="D92" s="77"/>
      <c r="E92" s="77"/>
      <c r="F92" s="77"/>
      <c r="G92" s="77"/>
      <c r="H92" s="77"/>
      <c r="I92" s="77"/>
      <c r="J92" s="77"/>
      <c r="K92" s="77"/>
      <c r="L92" s="77"/>
      <c r="M92" s="77"/>
      <c r="N92" s="77"/>
      <c r="O92" s="77"/>
      <c r="P92" s="77"/>
      <c r="Q92" s="75"/>
      <c r="R92" s="78"/>
      <c r="S92" s="75"/>
      <c r="T92" s="12"/>
    </row>
    <row r="93" spans="1:20" ht="7.35" customHeight="1" x14ac:dyDescent="0.25">
      <c r="B93" s="71"/>
      <c r="C93" s="71"/>
      <c r="D93" s="15"/>
      <c r="E93" s="15"/>
      <c r="F93" s="15"/>
      <c r="G93" s="15"/>
      <c r="H93" s="15"/>
      <c r="I93" s="15"/>
      <c r="J93" s="15"/>
      <c r="K93" s="15"/>
      <c r="L93" s="15"/>
      <c r="M93" s="15"/>
      <c r="N93" s="15"/>
      <c r="O93" s="15"/>
      <c r="P93" s="15"/>
      <c r="R93" s="74"/>
    </row>
    <row r="94" spans="1:20" ht="19.5" thickBot="1" x14ac:dyDescent="0.3">
      <c r="A94" s="37"/>
      <c r="B94" s="38" t="s">
        <v>100</v>
      </c>
      <c r="C94" s="38"/>
      <c r="D94" s="39" t="s">
        <v>245</v>
      </c>
      <c r="E94" s="40"/>
      <c r="F94" s="40"/>
      <c r="G94" s="40"/>
      <c r="H94" s="40"/>
      <c r="I94" s="40"/>
      <c r="J94" s="40"/>
      <c r="K94" s="40"/>
      <c r="L94" s="40"/>
      <c r="M94" s="40"/>
      <c r="N94" s="40"/>
      <c r="O94" s="40"/>
      <c r="P94" s="40"/>
      <c r="Q94" s="37"/>
      <c r="R94" s="42"/>
      <c r="S94" s="37"/>
    </row>
    <row r="95" spans="1:20" x14ac:dyDescent="0.25"/>
    <row r="96" spans="1:20" x14ac:dyDescent="0.25">
      <c r="B96" s="15" t="s">
        <v>247</v>
      </c>
      <c r="D96" s="184" t="s">
        <v>246</v>
      </c>
      <c r="E96" s="184"/>
      <c r="F96" s="184"/>
      <c r="G96" s="184"/>
      <c r="H96" s="184"/>
      <c r="I96" s="184"/>
      <c r="J96" s="184"/>
      <c r="K96" s="184"/>
      <c r="L96" s="184"/>
      <c r="M96" s="184"/>
      <c r="N96" s="184"/>
      <c r="O96" s="184"/>
      <c r="P96" s="54"/>
      <c r="R96" s="130"/>
      <c r="T96" s="11" t="str">
        <f>IF(ISBLANK(R96),"R","G")</f>
        <v>R</v>
      </c>
    </row>
    <row r="97" spans="1:21" x14ac:dyDescent="0.25"/>
    <row r="98" spans="1:21" ht="7.35" customHeight="1" x14ac:dyDescent="0.25">
      <c r="B98" s="71"/>
      <c r="C98" s="71"/>
      <c r="D98" s="15"/>
      <c r="E98" s="15"/>
      <c r="F98" s="15"/>
      <c r="G98" s="15"/>
      <c r="H98" s="15"/>
      <c r="I98" s="15"/>
      <c r="J98" s="15"/>
      <c r="K98" s="15"/>
      <c r="L98" s="15"/>
      <c r="M98" s="72"/>
      <c r="N98" s="72"/>
      <c r="O98" s="72"/>
      <c r="P98" s="72"/>
      <c r="Q98" s="73"/>
      <c r="R98" s="74"/>
    </row>
    <row r="99" spans="1:21" ht="7.15" customHeight="1" x14ac:dyDescent="0.25">
      <c r="A99" s="75"/>
      <c r="B99" s="76"/>
      <c r="C99" s="76"/>
      <c r="D99" s="77"/>
      <c r="E99" s="77"/>
      <c r="F99" s="77"/>
      <c r="G99" s="77"/>
      <c r="H99" s="77"/>
      <c r="I99" s="77"/>
      <c r="J99" s="77"/>
      <c r="K99" s="77"/>
      <c r="L99" s="77"/>
      <c r="M99" s="77"/>
      <c r="N99" s="77"/>
      <c r="O99" s="77"/>
      <c r="P99" s="77"/>
      <c r="Q99" s="75"/>
      <c r="R99" s="78"/>
      <c r="S99" s="75"/>
      <c r="T99" s="12"/>
    </row>
    <row r="100" spans="1:21" ht="7.35" customHeight="1" x14ac:dyDescent="0.25">
      <c r="B100" s="71"/>
      <c r="C100" s="71"/>
      <c r="D100" s="15"/>
      <c r="E100" s="15"/>
      <c r="F100" s="15"/>
      <c r="G100" s="15"/>
      <c r="H100" s="15"/>
      <c r="I100" s="15"/>
      <c r="J100" s="15"/>
      <c r="K100" s="15"/>
      <c r="L100" s="15"/>
      <c r="M100" s="15"/>
      <c r="N100" s="15"/>
      <c r="O100" s="15"/>
      <c r="P100" s="15"/>
      <c r="R100" s="74"/>
    </row>
    <row r="101" spans="1:21" ht="19.5" thickBot="1" x14ac:dyDescent="0.3">
      <c r="A101" s="37"/>
      <c r="B101" s="38" t="s">
        <v>137</v>
      </c>
      <c r="C101" s="38"/>
      <c r="D101" s="39" t="s">
        <v>238</v>
      </c>
      <c r="E101" s="40"/>
      <c r="F101" s="40"/>
      <c r="G101" s="40"/>
      <c r="H101" s="40"/>
      <c r="I101" s="40"/>
      <c r="J101" s="40"/>
      <c r="K101" s="40"/>
      <c r="L101" s="40"/>
      <c r="M101" s="40"/>
      <c r="N101" s="40"/>
      <c r="O101" s="40"/>
      <c r="P101" s="40"/>
      <c r="Q101" s="37"/>
      <c r="R101" s="42"/>
      <c r="S101" s="37"/>
    </row>
    <row r="102" spans="1:21" x14ac:dyDescent="0.25"/>
    <row r="103" spans="1:21" s="52" customFormat="1" ht="30.75" customHeight="1" x14ac:dyDescent="0.25">
      <c r="B103" s="44" t="s">
        <v>239</v>
      </c>
      <c r="C103" s="44"/>
      <c r="D103" s="184" t="s">
        <v>1280</v>
      </c>
      <c r="E103" s="184"/>
      <c r="F103" s="184"/>
      <c r="G103" s="184"/>
      <c r="H103" s="184"/>
      <c r="I103" s="184"/>
      <c r="J103" s="184"/>
      <c r="K103" s="184"/>
      <c r="L103" s="184"/>
      <c r="M103" s="184"/>
      <c r="N103" s="184"/>
      <c r="O103" s="184"/>
      <c r="P103" s="54"/>
      <c r="R103" s="18"/>
      <c r="T103" s="11" t="str">
        <f>IF(OR(R103&lt;0,ISBLANK(R103)),"R","G")</f>
        <v>R</v>
      </c>
      <c r="U103" s="122"/>
    </row>
    <row r="104" spans="1:21" s="52" customFormat="1" x14ac:dyDescent="0.25">
      <c r="B104" s="44"/>
      <c r="C104" s="44"/>
      <c r="D104" s="54"/>
      <c r="E104" s="54"/>
      <c r="F104" s="54"/>
      <c r="G104" s="54"/>
      <c r="H104" s="54"/>
      <c r="I104" s="54"/>
      <c r="J104" s="54"/>
      <c r="K104" s="54"/>
      <c r="L104" s="54"/>
      <c r="M104" s="54"/>
      <c r="N104" s="54"/>
      <c r="O104" s="54"/>
      <c r="P104" s="54"/>
      <c r="R104" s="26"/>
      <c r="U104" s="122"/>
    </row>
    <row r="105" spans="1:21" s="52" customFormat="1" ht="30.75" customHeight="1" x14ac:dyDescent="0.25">
      <c r="B105" s="44" t="s">
        <v>240</v>
      </c>
      <c r="C105" s="44"/>
      <c r="D105" s="184" t="s">
        <v>1281</v>
      </c>
      <c r="E105" s="184"/>
      <c r="F105" s="184"/>
      <c r="G105" s="184"/>
      <c r="H105" s="184"/>
      <c r="I105" s="184"/>
      <c r="J105" s="184"/>
      <c r="K105" s="184"/>
      <c r="L105" s="184"/>
      <c r="M105" s="184"/>
      <c r="N105" s="184"/>
      <c r="O105" s="184"/>
      <c r="P105" s="54"/>
      <c r="R105" s="18"/>
      <c r="T105" s="11" t="str">
        <f>IF(OR(R105&lt;0,ISBLANK(R105)),"R","G")</f>
        <v>R</v>
      </c>
      <c r="U105" s="122"/>
    </row>
    <row r="106" spans="1:21" s="52" customFormat="1" x14ac:dyDescent="0.25">
      <c r="B106" s="44"/>
      <c r="C106" s="44"/>
      <c r="D106" s="54"/>
      <c r="E106" s="54"/>
      <c r="F106" s="54"/>
      <c r="G106" s="54"/>
      <c r="H106" s="54"/>
      <c r="I106" s="54"/>
      <c r="J106" s="54"/>
      <c r="K106" s="54"/>
      <c r="L106" s="54"/>
      <c r="M106" s="54"/>
      <c r="N106" s="54"/>
      <c r="O106" s="54"/>
      <c r="P106" s="54"/>
      <c r="R106" s="26"/>
      <c r="U106" s="122"/>
    </row>
    <row r="107" spans="1:21" s="52" customFormat="1" ht="30.75" customHeight="1" x14ac:dyDescent="0.25">
      <c r="B107" s="15" t="s">
        <v>241</v>
      </c>
      <c r="C107" s="44"/>
      <c r="D107" s="184" t="s">
        <v>1282</v>
      </c>
      <c r="E107" s="184"/>
      <c r="F107" s="184"/>
      <c r="G107" s="184"/>
      <c r="H107" s="184"/>
      <c r="I107" s="184"/>
      <c r="J107" s="184"/>
      <c r="K107" s="184"/>
      <c r="L107" s="184"/>
      <c r="M107" s="184"/>
      <c r="N107" s="184"/>
      <c r="O107" s="184"/>
      <c r="P107" s="54"/>
      <c r="R107" s="18"/>
      <c r="T107" s="11" t="str">
        <f>IF(OR(AND(T108="R",MF.12&gt;0),AND(T108="R",MF.12&lt;=0)),"R","G")</f>
        <v>G</v>
      </c>
      <c r="U107" s="122"/>
    </row>
    <row r="108" spans="1:21" s="52" customFormat="1" x14ac:dyDescent="0.25">
      <c r="B108" s="53" t="s">
        <v>938</v>
      </c>
      <c r="C108" s="53"/>
      <c r="D108" s="54"/>
      <c r="E108" s="54"/>
      <c r="F108" s="54"/>
      <c r="G108" s="54"/>
      <c r="H108" s="54"/>
      <c r="I108" s="54"/>
      <c r="J108" s="54"/>
      <c r="K108" s="54"/>
      <c r="L108" s="54"/>
      <c r="M108" s="187" t="s">
        <v>305</v>
      </c>
      <c r="N108" s="187"/>
      <c r="O108" s="187"/>
      <c r="P108" s="187"/>
      <c r="R108" s="61"/>
      <c r="T108" s="11" t="str">
        <f>IF(MF.12&gt;0,IF(OR(AND(ISBLANK(R107),ISBLANK(R108)),AND(NOT(ISBLANK(R107)),R108="Not Applicable")),"R","G"),IF(MF.12&lt;=0,IF(OR(AND(NOT(ISBLANK(R107)),NOT(ISBLANK(R108))),AND(ISBLANK(R107),R108="Not Applicable"),AND(NOT(ISBLANK(R107)),R108&lt;&gt;"Not Applicable")),"R","G")))</f>
        <v>G</v>
      </c>
      <c r="U108" s="122"/>
    </row>
    <row r="109" spans="1:21" s="52" customFormat="1" x14ac:dyDescent="0.25">
      <c r="B109" s="44"/>
      <c r="C109" s="44"/>
      <c r="D109" s="54"/>
      <c r="E109" s="54"/>
      <c r="F109" s="54"/>
      <c r="G109" s="54"/>
      <c r="H109" s="54"/>
      <c r="I109" s="54"/>
      <c r="J109" s="54"/>
      <c r="K109" s="54"/>
      <c r="L109" s="54"/>
      <c r="M109" s="54"/>
      <c r="N109" s="68"/>
      <c r="O109" s="54"/>
      <c r="P109" s="54"/>
      <c r="R109" s="26"/>
      <c r="U109" s="122"/>
    </row>
    <row r="110" spans="1:21" s="52" customFormat="1" ht="30.75" customHeight="1" x14ac:dyDescent="0.25">
      <c r="B110" s="44" t="s">
        <v>242</v>
      </c>
      <c r="C110" s="44"/>
      <c r="D110" s="184" t="s">
        <v>1295</v>
      </c>
      <c r="E110" s="184"/>
      <c r="F110" s="184"/>
      <c r="G110" s="184"/>
      <c r="H110" s="184"/>
      <c r="I110" s="184"/>
      <c r="J110" s="184"/>
      <c r="K110" s="184"/>
      <c r="L110" s="184"/>
      <c r="M110" s="184"/>
      <c r="N110" s="184"/>
      <c r="O110" s="184"/>
      <c r="P110" s="54"/>
      <c r="R110" s="18"/>
      <c r="T110" s="11" t="str">
        <f>IF(OR(AND(OR(OR(R110&lt;0%,R110&gt;100%),ISBLANK(R110)),ISBLANK(R111)),AND(R110&gt;0%,R111="Not Applicable")),"R","G")</f>
        <v>R</v>
      </c>
      <c r="U110" s="122"/>
    </row>
    <row r="111" spans="1:21" s="52" customFormat="1" x14ac:dyDescent="0.25">
      <c r="B111" s="53" t="s">
        <v>939</v>
      </c>
      <c r="C111" s="53"/>
      <c r="D111" s="54"/>
      <c r="E111" s="54"/>
      <c r="F111" s="54"/>
      <c r="G111" s="54"/>
      <c r="H111" s="54"/>
      <c r="I111" s="54"/>
      <c r="J111" s="54"/>
      <c r="K111" s="54"/>
      <c r="L111" s="54"/>
      <c r="M111" s="187" t="s">
        <v>305</v>
      </c>
      <c r="N111" s="187"/>
      <c r="O111" s="187"/>
      <c r="P111" s="187"/>
      <c r="R111" s="61"/>
      <c r="T111" s="11" t="str">
        <f>IF(OR(AND(ISBLANK($R$110),$R$111="Not Applicable"),AND(NOT(ISBLANK($R$110)),ISBLANK($R$111))),"G","R")</f>
        <v>R</v>
      </c>
      <c r="U111" s="122"/>
    </row>
    <row r="112" spans="1:21" s="52" customFormat="1" x14ac:dyDescent="0.25">
      <c r="B112" s="44"/>
      <c r="C112" s="44"/>
      <c r="D112" s="54"/>
      <c r="E112" s="54"/>
      <c r="F112" s="54"/>
      <c r="G112" s="54"/>
      <c r="H112" s="54"/>
      <c r="I112" s="54"/>
      <c r="J112" s="54"/>
      <c r="K112" s="54"/>
      <c r="L112" s="54"/>
      <c r="M112" s="54"/>
      <c r="N112" s="54"/>
      <c r="O112" s="54"/>
      <c r="P112" s="54"/>
      <c r="R112" s="26"/>
      <c r="U112" s="122"/>
    </row>
    <row r="113" spans="1:21" s="52" customFormat="1" ht="30.75" customHeight="1" x14ac:dyDescent="0.25">
      <c r="B113" s="44"/>
      <c r="C113" s="44"/>
      <c r="D113" s="186" t="s">
        <v>1322</v>
      </c>
      <c r="E113" s="186"/>
      <c r="F113" s="186"/>
      <c r="G113" s="186"/>
      <c r="H113" s="186"/>
      <c r="I113" s="186"/>
      <c r="J113" s="186"/>
      <c r="K113" s="186"/>
      <c r="L113" s="186"/>
      <c r="M113" s="186"/>
      <c r="N113" s="186"/>
      <c r="O113" s="186"/>
      <c r="P113" s="44"/>
      <c r="Q113" s="44"/>
      <c r="R113" s="26"/>
      <c r="U113" s="122"/>
    </row>
    <row r="114" spans="1:21" s="52" customFormat="1" x14ac:dyDescent="0.25">
      <c r="B114" s="69" t="s">
        <v>243</v>
      </c>
      <c r="C114" s="69"/>
      <c r="D114" s="191" t="s">
        <v>1283</v>
      </c>
      <c r="E114" s="191"/>
      <c r="F114" s="191"/>
      <c r="G114" s="191"/>
      <c r="H114" s="191"/>
      <c r="I114" s="191"/>
      <c r="J114" s="191"/>
      <c r="K114" s="191"/>
      <c r="L114" s="191"/>
      <c r="M114" s="191"/>
      <c r="N114" s="191"/>
      <c r="O114" s="191"/>
      <c r="P114" s="85"/>
      <c r="R114" s="16"/>
      <c r="T114" s="11" t="str">
        <f>IF(OR(AND(OR(R44="Yes, outsourcing within the group",R44="Yes, outsourcing outside the group"),ISBLANK(R114)),AND(AND(R44&lt;&gt;"Yes, outsourcing within the group",R44&lt;&gt;"Yes, outsourcing outside the group"),NOT(ISBLANK(R114)))),"R","G")</f>
        <v>G</v>
      </c>
      <c r="U114" s="122"/>
    </row>
    <row r="115" spans="1:21" x14ac:dyDescent="0.25">
      <c r="B115" s="69" t="s">
        <v>244</v>
      </c>
      <c r="C115" s="69"/>
      <c r="D115" s="191" t="s">
        <v>1284</v>
      </c>
      <c r="E115" s="191"/>
      <c r="F115" s="191"/>
      <c r="G115" s="191"/>
      <c r="H115" s="191"/>
      <c r="I115" s="191"/>
      <c r="J115" s="191"/>
      <c r="K115" s="191"/>
      <c r="L115" s="191"/>
      <c r="M115" s="191"/>
      <c r="N115" s="191"/>
      <c r="O115" s="191"/>
      <c r="P115" s="85"/>
      <c r="Q115" s="52"/>
      <c r="R115" s="16"/>
      <c r="T115" s="11" t="str">
        <f>IF(OR(AND(OR(R44="Yes, outsourcing within the group",R44="Yes, outsourcing outside the group"),ISBLANK(R115)),AND(AND(R44&lt;&gt;"Yes, outsourcing within the group",R44&lt;&gt;"Yes, outsourcing outside the group"),NOT(ISBLANK(R115)))),"R","G")</f>
        <v>G</v>
      </c>
    </row>
    <row r="116" spans="1:21" x14ac:dyDescent="0.25"/>
    <row r="117" spans="1:21" s="52" customFormat="1" ht="30.75" customHeight="1" x14ac:dyDescent="0.25">
      <c r="B117" s="44" t="s">
        <v>306</v>
      </c>
      <c r="C117" s="44"/>
      <c r="D117" s="184" t="s">
        <v>1296</v>
      </c>
      <c r="E117" s="184"/>
      <c r="F117" s="184"/>
      <c r="G117" s="184"/>
      <c r="H117" s="184"/>
      <c r="I117" s="184"/>
      <c r="J117" s="184"/>
      <c r="K117" s="184"/>
      <c r="L117" s="184"/>
      <c r="M117" s="184"/>
      <c r="N117" s="184"/>
      <c r="O117" s="184"/>
      <c r="P117" s="54"/>
      <c r="R117" s="16"/>
      <c r="T117" s="11" t="str">
        <f>IF(ISBLANK(R117),"R","G")</f>
        <v>R</v>
      </c>
      <c r="U117" s="122"/>
    </row>
    <row r="118" spans="1:21" x14ac:dyDescent="0.25"/>
    <row r="119" spans="1:21" ht="7.35" customHeight="1" x14ac:dyDescent="0.25">
      <c r="B119" s="71"/>
      <c r="C119" s="71"/>
      <c r="D119" s="15"/>
      <c r="E119" s="15"/>
      <c r="F119" s="15"/>
      <c r="G119" s="15"/>
      <c r="H119" s="15"/>
      <c r="I119" s="15"/>
      <c r="J119" s="15"/>
      <c r="K119" s="15"/>
      <c r="L119" s="15"/>
      <c r="M119" s="72"/>
      <c r="N119" s="72"/>
      <c r="O119" s="72"/>
      <c r="P119" s="72"/>
      <c r="Q119" s="73"/>
    </row>
    <row r="120" spans="1:21" ht="7.15" customHeight="1" x14ac:dyDescent="0.25">
      <c r="A120" s="75"/>
      <c r="B120" s="76"/>
      <c r="C120" s="76"/>
      <c r="D120" s="77"/>
      <c r="E120" s="77"/>
      <c r="F120" s="77"/>
      <c r="G120" s="77"/>
      <c r="H120" s="77"/>
      <c r="I120" s="77"/>
      <c r="J120" s="77"/>
      <c r="K120" s="77"/>
      <c r="L120" s="77"/>
      <c r="M120" s="77"/>
      <c r="N120" s="77"/>
      <c r="O120" s="77"/>
      <c r="P120" s="77"/>
      <c r="Q120" s="75"/>
      <c r="R120" s="78"/>
      <c r="S120" s="75"/>
      <c r="T120" s="12"/>
    </row>
    <row r="121" spans="1:21" ht="7.35" customHeight="1" x14ac:dyDescent="0.25">
      <c r="B121" s="71"/>
      <c r="C121" s="71"/>
      <c r="D121" s="15"/>
      <c r="E121" s="15"/>
      <c r="F121" s="15"/>
      <c r="G121" s="15"/>
      <c r="H121" s="15"/>
      <c r="I121" s="15"/>
      <c r="J121" s="15"/>
      <c r="K121" s="15"/>
      <c r="L121" s="15"/>
      <c r="M121" s="15"/>
      <c r="N121" s="15"/>
      <c r="O121" s="15"/>
      <c r="P121" s="15"/>
    </row>
    <row r="122" spans="1:21" ht="19.5" thickBot="1" x14ac:dyDescent="0.3">
      <c r="A122" s="37"/>
      <c r="B122" s="38" t="s">
        <v>153</v>
      </c>
      <c r="C122" s="38"/>
      <c r="D122" s="39" t="s">
        <v>231</v>
      </c>
      <c r="E122" s="40"/>
      <c r="F122" s="40"/>
      <c r="G122" s="40"/>
      <c r="H122" s="40"/>
      <c r="I122" s="40"/>
      <c r="J122" s="40"/>
      <c r="K122" s="40"/>
      <c r="L122" s="40"/>
      <c r="M122" s="40"/>
      <c r="N122" s="40"/>
      <c r="O122" s="40"/>
      <c r="P122" s="40"/>
      <c r="Q122" s="37"/>
      <c r="R122" s="37"/>
      <c r="S122" s="37"/>
    </row>
    <row r="123" spans="1:21" x14ac:dyDescent="0.25"/>
    <row r="124" spans="1:21" x14ac:dyDescent="0.25">
      <c r="B124" s="15" t="s">
        <v>232</v>
      </c>
      <c r="D124" s="184" t="s">
        <v>1297</v>
      </c>
      <c r="E124" s="184"/>
      <c r="F124" s="184"/>
      <c r="G124" s="184"/>
      <c r="H124" s="184"/>
      <c r="I124" s="184"/>
      <c r="J124" s="184"/>
      <c r="K124" s="184"/>
      <c r="L124" s="184"/>
      <c r="M124" s="184"/>
      <c r="N124" s="184"/>
      <c r="O124" s="184"/>
      <c r="P124" s="54"/>
      <c r="R124" s="67"/>
      <c r="S124" s="52"/>
      <c r="T124" s="11" t="str">
        <f>IF(OR(R124&lt;0,ISBLANK(R124)),"R","G")</f>
        <v>R</v>
      </c>
    </row>
    <row r="125" spans="1:21" x14ac:dyDescent="0.25">
      <c r="D125" s="54"/>
      <c r="E125" s="54"/>
      <c r="F125" s="54"/>
      <c r="G125" s="54"/>
      <c r="H125" s="54"/>
      <c r="I125" s="54"/>
      <c r="J125" s="54"/>
      <c r="K125" s="54"/>
      <c r="L125" s="54"/>
      <c r="M125" s="54"/>
      <c r="N125" s="54"/>
      <c r="O125" s="54"/>
      <c r="P125" s="54"/>
    </row>
    <row r="126" spans="1:21" ht="30.75" customHeight="1" x14ac:dyDescent="0.25">
      <c r="B126" s="15" t="s">
        <v>233</v>
      </c>
      <c r="D126" s="184" t="s">
        <v>1298</v>
      </c>
      <c r="E126" s="184"/>
      <c r="F126" s="184"/>
      <c r="G126" s="184"/>
      <c r="H126" s="184"/>
      <c r="I126" s="184"/>
      <c r="J126" s="184"/>
      <c r="K126" s="184"/>
      <c r="L126" s="184"/>
      <c r="M126" s="184"/>
      <c r="N126" s="184"/>
      <c r="O126" s="184"/>
      <c r="P126" s="54"/>
      <c r="R126" s="67"/>
      <c r="T126" s="11" t="str">
        <f>IF(OR(AND(R124&gt;0,ISBLANK(R126)),AND(R124=0,NOT(ISBLANK(R126)))),"R","G")</f>
        <v>G</v>
      </c>
    </row>
    <row r="127" spans="1:21" x14ac:dyDescent="0.25">
      <c r="D127" s="54"/>
      <c r="E127" s="54"/>
      <c r="F127" s="54"/>
      <c r="G127" s="54"/>
      <c r="H127" s="54"/>
      <c r="I127" s="54"/>
      <c r="J127" s="54"/>
      <c r="K127" s="54"/>
      <c r="L127" s="54"/>
      <c r="M127" s="54"/>
      <c r="N127" s="54"/>
      <c r="O127" s="54"/>
      <c r="P127" s="54"/>
      <c r="R127" s="123"/>
      <c r="T127" s="11"/>
    </row>
    <row r="128" spans="1:21" ht="30.75" customHeight="1" x14ac:dyDescent="0.25">
      <c r="B128" s="15" t="s">
        <v>234</v>
      </c>
      <c r="D128" s="184" t="s">
        <v>1299</v>
      </c>
      <c r="E128" s="184"/>
      <c r="F128" s="184"/>
      <c r="G128" s="184"/>
      <c r="H128" s="184"/>
      <c r="I128" s="184"/>
      <c r="J128" s="184"/>
      <c r="K128" s="184"/>
      <c r="L128" s="184"/>
      <c r="M128" s="184"/>
      <c r="N128" s="184"/>
      <c r="O128" s="184"/>
      <c r="P128" s="54"/>
      <c r="R128" s="67"/>
      <c r="T128" s="11" t="str">
        <f>IF(OR(AND(R124&gt;0,ISBLANK(R128)),AND(R124=0,NOT(ISBLANK(R128)))),"R","G")</f>
        <v>G</v>
      </c>
    </row>
    <row r="129" spans="1:20" x14ac:dyDescent="0.25">
      <c r="D129" s="54"/>
      <c r="E129" s="54"/>
      <c r="F129" s="54"/>
      <c r="G129" s="54"/>
      <c r="H129" s="54"/>
      <c r="I129" s="54"/>
      <c r="J129" s="54"/>
      <c r="K129" s="54"/>
      <c r="L129" s="54"/>
      <c r="M129" s="54"/>
      <c r="N129" s="54"/>
      <c r="O129" s="54"/>
      <c r="P129" s="54"/>
      <c r="R129" s="124"/>
      <c r="T129" s="11"/>
    </row>
    <row r="130" spans="1:20" x14ac:dyDescent="0.25">
      <c r="B130" s="15" t="s">
        <v>236</v>
      </c>
      <c r="D130" s="184" t="s">
        <v>307</v>
      </c>
      <c r="E130" s="184"/>
      <c r="F130" s="184"/>
      <c r="G130" s="184"/>
      <c r="H130" s="184"/>
      <c r="I130" s="184"/>
      <c r="J130" s="184"/>
      <c r="K130" s="184"/>
      <c r="L130" s="184"/>
      <c r="M130" s="184"/>
      <c r="N130" s="184"/>
      <c r="O130" s="184"/>
      <c r="P130" s="54"/>
      <c r="R130" s="67"/>
      <c r="S130" s="52"/>
      <c r="T130" s="11" t="str">
        <f>IF(ISBLANK(R130),"R","G")</f>
        <v>R</v>
      </c>
    </row>
    <row r="131" spans="1:20" x14ac:dyDescent="0.25">
      <c r="D131" s="54"/>
      <c r="E131" s="54"/>
      <c r="F131" s="54"/>
      <c r="G131" s="54"/>
      <c r="H131" s="54"/>
      <c r="I131" s="54"/>
      <c r="J131" s="54"/>
      <c r="K131" s="54"/>
      <c r="L131" s="54"/>
      <c r="M131" s="54"/>
      <c r="N131" s="54"/>
      <c r="O131" s="54"/>
      <c r="P131" s="54"/>
    </row>
    <row r="132" spans="1:20" ht="30.75" customHeight="1" x14ac:dyDescent="0.25">
      <c r="B132" s="15" t="s">
        <v>309</v>
      </c>
      <c r="D132" s="184" t="s">
        <v>308</v>
      </c>
      <c r="E132" s="184"/>
      <c r="F132" s="184"/>
      <c r="G132" s="184"/>
      <c r="H132" s="184"/>
      <c r="I132" s="184"/>
      <c r="J132" s="184"/>
      <c r="K132" s="184"/>
      <c r="L132" s="184"/>
      <c r="M132" s="184"/>
      <c r="N132" s="184"/>
      <c r="O132" s="184"/>
      <c r="P132" s="54"/>
      <c r="R132" s="67"/>
      <c r="S132" s="52"/>
      <c r="T132" s="11" t="str">
        <f>IF(OR(R132&lt;0,ISBLANK(R132)),"R","G")</f>
        <v>R</v>
      </c>
    </row>
    <row r="133" spans="1:20" x14ac:dyDescent="0.25"/>
    <row r="134" spans="1:20" ht="7.35" customHeight="1" x14ac:dyDescent="0.25">
      <c r="B134" s="71"/>
      <c r="C134" s="71"/>
      <c r="D134" s="15"/>
      <c r="E134" s="15"/>
      <c r="F134" s="15"/>
      <c r="G134" s="15"/>
      <c r="H134" s="15"/>
      <c r="I134" s="15"/>
      <c r="J134" s="15"/>
      <c r="K134" s="15"/>
      <c r="L134" s="15"/>
      <c r="M134" s="72"/>
      <c r="N134" s="72"/>
      <c r="O134" s="72"/>
      <c r="P134" s="72"/>
      <c r="Q134" s="73"/>
      <c r="R134" s="74"/>
    </row>
    <row r="135" spans="1:20" ht="7.15" customHeight="1" x14ac:dyDescent="0.25">
      <c r="A135" s="75"/>
      <c r="B135" s="76"/>
      <c r="C135" s="76"/>
      <c r="D135" s="77"/>
      <c r="E135" s="77"/>
      <c r="F135" s="77"/>
      <c r="G135" s="77"/>
      <c r="H135" s="77"/>
      <c r="I135" s="77"/>
      <c r="J135" s="77"/>
      <c r="K135" s="77"/>
      <c r="L135" s="77"/>
      <c r="M135" s="77"/>
      <c r="N135" s="77"/>
      <c r="O135" s="77"/>
      <c r="P135" s="77"/>
      <c r="Q135" s="75"/>
      <c r="R135" s="78"/>
      <c r="S135" s="75"/>
      <c r="T135" s="12"/>
    </row>
    <row r="136" spans="1:20" ht="7.35" customHeight="1" x14ac:dyDescent="0.25">
      <c r="B136" s="71"/>
      <c r="C136" s="71"/>
      <c r="D136" s="15"/>
      <c r="E136" s="15"/>
      <c r="F136" s="15"/>
      <c r="G136" s="15"/>
      <c r="H136" s="15"/>
      <c r="I136" s="15"/>
      <c r="J136" s="15"/>
      <c r="K136" s="15"/>
      <c r="L136" s="15"/>
      <c r="M136" s="15"/>
      <c r="N136" s="15"/>
      <c r="O136" s="15"/>
      <c r="P136" s="15"/>
      <c r="R136" s="74"/>
    </row>
    <row r="137" spans="1:20" ht="19.5" thickBot="1" x14ac:dyDescent="0.3">
      <c r="A137" s="37"/>
      <c r="B137" s="38" t="s">
        <v>184</v>
      </c>
      <c r="C137" s="38"/>
      <c r="D137" s="39" t="s">
        <v>101</v>
      </c>
      <c r="E137" s="40"/>
      <c r="F137" s="40"/>
      <c r="G137" s="40"/>
      <c r="H137" s="40"/>
      <c r="I137" s="40"/>
      <c r="J137" s="40"/>
      <c r="K137" s="40"/>
      <c r="L137" s="40"/>
      <c r="M137" s="40"/>
      <c r="N137" s="40"/>
      <c r="O137" s="40"/>
      <c r="P137" s="40"/>
      <c r="Q137" s="37"/>
      <c r="R137" s="42"/>
      <c r="S137" s="37"/>
    </row>
    <row r="138" spans="1:20" x14ac:dyDescent="0.25"/>
    <row r="139" spans="1:20" ht="29.25" customHeight="1" x14ac:dyDescent="0.25">
      <c r="B139" s="15" t="s">
        <v>105</v>
      </c>
      <c r="D139" s="184" t="s">
        <v>1293</v>
      </c>
      <c r="E139" s="184"/>
      <c r="F139" s="184"/>
      <c r="G139" s="184"/>
      <c r="H139" s="184"/>
      <c r="I139" s="184"/>
      <c r="J139" s="184"/>
      <c r="K139" s="184"/>
      <c r="L139" s="184"/>
      <c r="M139" s="184"/>
      <c r="N139" s="184"/>
      <c r="O139" s="184"/>
      <c r="P139" s="54"/>
      <c r="R139" s="16"/>
      <c r="T139" s="11" t="str">
        <f>IF(ISBLANK(R139),"R","G")</f>
        <v>R</v>
      </c>
    </row>
    <row r="140" spans="1:20" x14ac:dyDescent="0.25">
      <c r="T140" s="11"/>
    </row>
    <row r="141" spans="1:20" ht="45" customHeight="1" x14ac:dyDescent="0.25">
      <c r="B141" s="15" t="s">
        <v>106</v>
      </c>
      <c r="D141" s="184" t="s">
        <v>1294</v>
      </c>
      <c r="E141" s="184"/>
      <c r="F141" s="184"/>
      <c r="G141" s="184"/>
      <c r="H141" s="184"/>
      <c r="I141" s="184"/>
      <c r="J141" s="184"/>
      <c r="K141" s="184"/>
      <c r="L141" s="184"/>
      <c r="M141" s="184"/>
      <c r="N141" s="184"/>
      <c r="O141" s="184"/>
      <c r="P141" s="54"/>
      <c r="R141" s="125"/>
      <c r="T141" s="11" t="str" cm="1">
        <f t="array" ref="T141">IF(AND(R142="Yes",OR(R143:R145&lt;&gt;"No")),"R",IF(OR(OR(ISBLANK(R142:R145)),AND(R142:R145="No"),COUNTIFS(R142:R145,"&lt;&gt;No",R142:R145,"&lt;&gt;Yes")&gt;0),"R","G"))</f>
        <v>R</v>
      </c>
    </row>
    <row r="142" spans="1:20" x14ac:dyDescent="0.25">
      <c r="B142" s="46" t="s">
        <v>312</v>
      </c>
      <c r="C142" s="46"/>
      <c r="D142" s="84"/>
      <c r="E142" s="84" t="s">
        <v>559</v>
      </c>
      <c r="R142" s="131"/>
    </row>
    <row r="143" spans="1:20" x14ac:dyDescent="0.25">
      <c r="B143" s="46" t="s">
        <v>313</v>
      </c>
      <c r="C143" s="46"/>
      <c r="D143" s="84"/>
      <c r="E143" s="84" t="s">
        <v>562</v>
      </c>
      <c r="R143" s="131"/>
    </row>
    <row r="144" spans="1:20" x14ac:dyDescent="0.25">
      <c r="B144" s="46" t="s">
        <v>314</v>
      </c>
      <c r="C144" s="46"/>
      <c r="D144" s="84"/>
      <c r="E144" s="84" t="s">
        <v>560</v>
      </c>
      <c r="R144" s="131"/>
    </row>
    <row r="145" spans="2:20" x14ac:dyDescent="0.25">
      <c r="B145" s="46" t="s">
        <v>315</v>
      </c>
      <c r="C145" s="46"/>
      <c r="D145" s="84"/>
      <c r="E145" s="84" t="s">
        <v>561</v>
      </c>
      <c r="R145" s="131"/>
    </row>
    <row r="146" spans="2:20" x14ac:dyDescent="0.25"/>
    <row r="147" spans="2:20" ht="19.5" customHeight="1" x14ac:dyDescent="0.25">
      <c r="B147" s="15" t="s">
        <v>107</v>
      </c>
      <c r="D147" s="197" t="s">
        <v>102</v>
      </c>
      <c r="E147" s="197"/>
      <c r="F147" s="197"/>
      <c r="G147" s="197"/>
      <c r="H147" s="197"/>
      <c r="I147" s="197"/>
      <c r="J147" s="197"/>
      <c r="K147" s="197"/>
      <c r="L147" s="197"/>
      <c r="M147" s="197"/>
      <c r="N147" s="197"/>
      <c r="O147" s="197"/>
      <c r="T147" s="11" t="str" cm="1">
        <f t="array" ref="T147">IF(AND(R148="Yes",OR(R149:R151&lt;&gt;"No")),"R",IF(OR(OR(ISBLANK(R148:R151)),AND(R148:R151="No"),COUNTIFS(R148:R151,"&lt;&gt;No",R148:R151,"&lt;&gt;Yes")&gt;0),"R","G"))</f>
        <v>R</v>
      </c>
    </row>
    <row r="148" spans="2:20" x14ac:dyDescent="0.25">
      <c r="B148" s="46" t="s">
        <v>280</v>
      </c>
      <c r="C148" s="46"/>
      <c r="D148" s="84"/>
      <c r="E148" s="84" t="s">
        <v>559</v>
      </c>
      <c r="R148" s="16"/>
    </row>
    <row r="149" spans="2:20" x14ac:dyDescent="0.25">
      <c r="B149" s="46" t="s">
        <v>281</v>
      </c>
      <c r="C149" s="46"/>
      <c r="D149" s="84"/>
      <c r="E149" s="84" t="s">
        <v>562</v>
      </c>
      <c r="R149" s="16"/>
    </row>
    <row r="150" spans="2:20" x14ac:dyDescent="0.25">
      <c r="B150" s="46" t="s">
        <v>282</v>
      </c>
      <c r="C150" s="46"/>
      <c r="D150" s="84"/>
      <c r="E150" s="84" t="s">
        <v>560</v>
      </c>
      <c r="R150" s="16"/>
    </row>
    <row r="151" spans="2:20" x14ac:dyDescent="0.25">
      <c r="B151" s="46" t="s">
        <v>283</v>
      </c>
      <c r="C151" s="46"/>
      <c r="D151" s="84"/>
      <c r="E151" s="84" t="s">
        <v>561</v>
      </c>
      <c r="R151" s="16"/>
    </row>
    <row r="152" spans="2:20" x14ac:dyDescent="0.25"/>
    <row r="153" spans="2:20" ht="30.75" customHeight="1" x14ac:dyDescent="0.25">
      <c r="B153" s="15" t="s">
        <v>563</v>
      </c>
      <c r="D153" s="184" t="s">
        <v>1285</v>
      </c>
      <c r="E153" s="184"/>
      <c r="F153" s="184"/>
      <c r="G153" s="184"/>
      <c r="H153" s="184"/>
      <c r="I153" s="184"/>
      <c r="J153" s="184"/>
      <c r="K153" s="184"/>
      <c r="L153" s="184"/>
      <c r="M153" s="184"/>
      <c r="N153" s="184"/>
      <c r="O153" s="184"/>
      <c r="P153" s="54"/>
      <c r="R153" s="16"/>
      <c r="T153" s="11" t="str">
        <f>IF(ISBLANK(R153),"R","G")</f>
        <v>R</v>
      </c>
    </row>
    <row r="154" spans="2:20" x14ac:dyDescent="0.25"/>
    <row r="155" spans="2:20" x14ac:dyDescent="0.25">
      <c r="B155" s="15" t="s">
        <v>564</v>
      </c>
      <c r="D155" s="197" t="s">
        <v>103</v>
      </c>
      <c r="E155" s="197"/>
      <c r="F155" s="197"/>
      <c r="G155" s="197"/>
      <c r="H155" s="197"/>
      <c r="I155" s="197"/>
      <c r="J155" s="197"/>
      <c r="K155" s="197"/>
      <c r="L155" s="197"/>
      <c r="M155" s="197"/>
      <c r="N155" s="197"/>
      <c r="O155" s="197"/>
      <c r="R155" s="16"/>
      <c r="T155" s="11" t="str">
        <f>IF(ISBLANK(R155),"R","G")</f>
        <v>R</v>
      </c>
    </row>
    <row r="156" spans="2:20" x14ac:dyDescent="0.25"/>
    <row r="157" spans="2:20" ht="60.75" customHeight="1" x14ac:dyDescent="0.25">
      <c r="B157" s="15" t="s">
        <v>108</v>
      </c>
      <c r="D157" s="197" t="s">
        <v>565</v>
      </c>
      <c r="E157" s="197"/>
      <c r="F157" s="197"/>
      <c r="G157" s="197"/>
      <c r="H157" s="197"/>
      <c r="I157" s="197"/>
      <c r="J157" s="197"/>
      <c r="K157" s="197"/>
      <c r="L157" s="197"/>
      <c r="M157" s="197"/>
      <c r="N157" s="197"/>
      <c r="O157" s="197"/>
      <c r="R157" s="16"/>
      <c r="T157" s="11" t="str">
        <f>IF(OR(AND(R155="Not Applicable",ISBLANK(R157)),AND(R155&lt;&gt;"Not Applicable",NOT(ISBLANK(R157)))),"R","G")</f>
        <v>G</v>
      </c>
    </row>
    <row r="158" spans="2:20" x14ac:dyDescent="0.25"/>
    <row r="159" spans="2:20" ht="33" customHeight="1" x14ac:dyDescent="0.25">
      <c r="B159" s="15" t="s">
        <v>109</v>
      </c>
      <c r="D159" s="184" t="s">
        <v>566</v>
      </c>
      <c r="E159" s="184"/>
      <c r="F159" s="184"/>
      <c r="G159" s="184"/>
      <c r="H159" s="184"/>
      <c r="I159" s="184"/>
      <c r="J159" s="184"/>
      <c r="K159" s="184"/>
      <c r="L159" s="184"/>
      <c r="M159" s="184"/>
      <c r="N159" s="184"/>
      <c r="O159" s="184"/>
      <c r="P159" s="54"/>
      <c r="R159" s="16"/>
      <c r="T159" s="11" t="str">
        <f>IF(ISBLANK(R159),"R","G")</f>
        <v>R</v>
      </c>
    </row>
    <row r="160" spans="2:20" x14ac:dyDescent="0.25"/>
    <row r="161" spans="2:20" ht="30" customHeight="1" x14ac:dyDescent="0.25">
      <c r="B161" s="15" t="s">
        <v>110</v>
      </c>
      <c r="D161" s="184" t="s">
        <v>104</v>
      </c>
      <c r="E161" s="184"/>
      <c r="F161" s="184"/>
      <c r="G161" s="184"/>
      <c r="H161" s="184"/>
      <c r="I161" s="184"/>
      <c r="J161" s="184"/>
      <c r="K161" s="184"/>
      <c r="L161" s="184"/>
      <c r="M161" s="184"/>
      <c r="N161" s="184"/>
      <c r="O161" s="184"/>
      <c r="P161" s="54"/>
      <c r="R161" s="16"/>
      <c r="T161" s="11" t="str">
        <f>IF(OR(AND(OR(R159="Yes - The function is carried out in-house",R159="Yes - The function is outsourced"),ISBLANK(R161)),AND(AND(R159&lt;&gt;"Yes - The function is carried out in-house",R159&lt;&gt;"Yes - The function is outsourced"),NOT(ISBLANK(R161)))),"R","G")</f>
        <v>G</v>
      </c>
    </row>
    <row r="162" spans="2:20" x14ac:dyDescent="0.25"/>
    <row r="163" spans="2:20" x14ac:dyDescent="0.25">
      <c r="B163" s="15" t="s">
        <v>111</v>
      </c>
      <c r="D163" s="184" t="s">
        <v>569</v>
      </c>
      <c r="E163" s="184"/>
      <c r="F163" s="184"/>
      <c r="G163" s="184"/>
      <c r="H163" s="184"/>
      <c r="I163" s="184"/>
      <c r="J163" s="184"/>
      <c r="K163" s="184"/>
      <c r="L163" s="184"/>
      <c r="M163" s="184"/>
      <c r="N163" s="184"/>
      <c r="O163" s="184"/>
      <c r="P163" s="54"/>
      <c r="R163" s="16"/>
      <c r="T163" s="11" t="str">
        <f>IF(OR(AND(OR(R159="Yes - The function is carried out in-house",R159="Yes - The function is outsourced"),ISBLANK(R163)),AND(AND(R159&lt;&gt;"Yes - The function is carried out in-house",R159&lt;&gt;"Yes - The function is outsourced"),NOT(ISBLANK(R163)))),"R","G")</f>
        <v>G</v>
      </c>
    </row>
    <row r="164" spans="2:20" x14ac:dyDescent="0.25"/>
    <row r="165" spans="2:20" x14ac:dyDescent="0.25">
      <c r="B165" s="15" t="s">
        <v>112</v>
      </c>
      <c r="D165" s="184" t="s">
        <v>893</v>
      </c>
      <c r="E165" s="184"/>
      <c r="F165" s="184"/>
      <c r="G165" s="184"/>
      <c r="H165" s="184"/>
      <c r="I165" s="184"/>
      <c r="J165" s="184"/>
      <c r="K165" s="184"/>
      <c r="L165" s="184"/>
      <c r="M165" s="184"/>
      <c r="N165" s="184"/>
      <c r="O165" s="184"/>
      <c r="P165" s="54"/>
      <c r="R165" s="16"/>
      <c r="T165" s="11" t="str">
        <f>IF(OR(AND(OR($R$163="1 month ago",$R$163="2 - 3 months ago",$R$163="4 - 6 months ago",$R$163="7 - 12 months ago",$R$163="1 - 2 years ago",$R$163="Over 2 years go"),ISBLANK(R165)),AND(AND($R$163&lt;&gt;"1 month ago",$R$163&lt;&gt;"2 - 3 months ago",$R$163&lt;&gt;"4 - 6 months ago",$R$163&lt;&gt;"7 - 12 months ago",$R$163&lt;&gt;"1 - 2 years ago",$R$163&lt;&gt;"Over 2 years go"),NOT(ISBLANK(R165)))),"R","G")</f>
        <v>G</v>
      </c>
    </row>
    <row r="166" spans="2:20" x14ac:dyDescent="0.25"/>
    <row r="167" spans="2:20" ht="41.25" customHeight="1" x14ac:dyDescent="0.25">
      <c r="B167" s="15" t="s">
        <v>113</v>
      </c>
      <c r="D167" s="184" t="s">
        <v>894</v>
      </c>
      <c r="E167" s="184"/>
      <c r="F167" s="184"/>
      <c r="G167" s="184"/>
      <c r="H167" s="184"/>
      <c r="I167" s="184"/>
      <c r="J167" s="184"/>
      <c r="K167" s="184"/>
      <c r="L167" s="184"/>
      <c r="M167" s="184"/>
      <c r="N167" s="184"/>
      <c r="O167" s="184"/>
      <c r="P167" s="54"/>
      <c r="R167" s="16"/>
      <c r="T167" s="11" t="str">
        <f>IF(OR(AND(OR($R$163="1 month ago",$R$163="2 - 3 months ago",$R$163="4 - 6 months ago",$R$163="7 - 12 months ago",$R$163="1 - 2 years ago"),ISBLANK(R167)),AND(AND($R$163&lt;&gt;"1 month ago",$R$163&lt;&gt;"2 - 3 months ago",$R$163&lt;&gt;"4 - 6 months ago",$R$163&lt;&gt;"7 - 12 months ago",$R$163&lt;&gt;"1 - 2 years ago"),NOT(ISBLANK(R167)))),"R","G")</f>
        <v>G</v>
      </c>
    </row>
    <row r="168" spans="2:20" x14ac:dyDescent="0.25"/>
    <row r="169" spans="2:20" ht="41.25" customHeight="1" x14ac:dyDescent="0.25">
      <c r="B169" s="15" t="s">
        <v>114</v>
      </c>
      <c r="D169" s="184" t="s">
        <v>895</v>
      </c>
      <c r="E169" s="184"/>
      <c r="F169" s="184"/>
      <c r="G169" s="184"/>
      <c r="H169" s="184"/>
      <c r="I169" s="184"/>
      <c r="J169" s="184"/>
      <c r="K169" s="184"/>
      <c r="L169" s="184"/>
      <c r="M169" s="184"/>
      <c r="N169" s="184"/>
      <c r="O169" s="184"/>
      <c r="P169" s="54"/>
      <c r="R169" s="16"/>
      <c r="T169" s="11" t="str">
        <f>IF(OR(AND(OR($R$163="1 month ago",$R$163="2 - 3 months ago",$R$163="4 - 6 months ago",$R$163="7 - 12 months ago",$R$163="1 - 2 years ago"),ISBLANK(R169)),AND(AND($R$163&lt;&gt;"1 month ago",$R$163&lt;&gt;"2 - 3 months ago",$R$163&lt;&gt;"4 - 6 months ago",$R$163&lt;&gt;"7 - 12 months ago",$R$163&lt;&gt;"1 - 2 years ago"),NOT(ISBLANK(R169)))),"R","G")</f>
        <v>G</v>
      </c>
    </row>
    <row r="170" spans="2:20" x14ac:dyDescent="0.25"/>
    <row r="171" spans="2:20" x14ac:dyDescent="0.25">
      <c r="B171" s="15" t="s">
        <v>115</v>
      </c>
      <c r="D171" s="197" t="s">
        <v>896</v>
      </c>
      <c r="E171" s="197"/>
      <c r="F171" s="197"/>
      <c r="G171" s="197"/>
      <c r="H171" s="197"/>
      <c r="I171" s="197"/>
      <c r="J171" s="197"/>
      <c r="K171" s="197"/>
      <c r="L171" s="197"/>
      <c r="M171" s="197"/>
      <c r="N171" s="197"/>
      <c r="O171" s="197"/>
      <c r="T171" s="11" t="str" cm="1">
        <f t="array" ref="T171">IF(OR(AND(OR($R$163="1 month ago",$R$163="2 - 3 months ago",$R$163="4 - 6 months ago",$R$163="7 - 12 months ago",$R$163="1 - 2 years ago"),OR(OR(ISBLANK(R172:R178)),AND(R172:R178="No"))),AND(AND($R$163&lt;&gt;"1 month ago",$R$163&lt;&gt;"2 - 3 months ago",$R$163&lt;&gt;"4 - 6 months ago",$R$163&lt;&gt;"7 - 12 months ago",$R$163&lt;&gt;"1 - 2 years ago"),NOT(ISBLANK(R172:R178)))),"R","G")</f>
        <v>G</v>
      </c>
    </row>
    <row r="172" spans="2:20" x14ac:dyDescent="0.25">
      <c r="B172" s="46" t="s">
        <v>923</v>
      </c>
      <c r="C172" s="46"/>
      <c r="D172" s="84"/>
      <c r="E172" s="84" t="s">
        <v>913</v>
      </c>
      <c r="R172" s="16"/>
      <c r="T172" s="11"/>
    </row>
    <row r="173" spans="2:20" x14ac:dyDescent="0.25">
      <c r="B173" s="46" t="s">
        <v>924</v>
      </c>
      <c r="C173" s="46"/>
      <c r="D173" s="84"/>
      <c r="E173" s="84" t="s">
        <v>914</v>
      </c>
      <c r="R173" s="16"/>
    </row>
    <row r="174" spans="2:20" x14ac:dyDescent="0.25">
      <c r="B174" s="46" t="s">
        <v>925</v>
      </c>
      <c r="C174" s="46"/>
      <c r="D174" s="84"/>
      <c r="E174" s="84" t="s">
        <v>915</v>
      </c>
      <c r="R174" s="16"/>
    </row>
    <row r="175" spans="2:20" x14ac:dyDescent="0.25">
      <c r="B175" s="46" t="s">
        <v>926</v>
      </c>
      <c r="C175" s="46"/>
      <c r="D175" s="84"/>
      <c r="E175" s="84" t="s">
        <v>917</v>
      </c>
      <c r="R175" s="16"/>
    </row>
    <row r="176" spans="2:20" x14ac:dyDescent="0.25">
      <c r="B176" s="46" t="s">
        <v>927</v>
      </c>
      <c r="C176" s="46"/>
      <c r="D176" s="84"/>
      <c r="E176" s="84" t="s">
        <v>918</v>
      </c>
      <c r="R176" s="16"/>
    </row>
    <row r="177" spans="1:20" x14ac:dyDescent="0.25">
      <c r="B177" s="46" t="s">
        <v>928</v>
      </c>
      <c r="C177" s="46"/>
      <c r="D177" s="84"/>
      <c r="E177" s="84" t="s">
        <v>916</v>
      </c>
      <c r="R177" s="16"/>
    </row>
    <row r="178" spans="1:20" x14ac:dyDescent="0.25">
      <c r="B178" s="46" t="s">
        <v>929</v>
      </c>
      <c r="C178" s="46"/>
      <c r="D178" s="84"/>
      <c r="E178" s="84" t="s">
        <v>1011</v>
      </c>
      <c r="R178" s="16"/>
    </row>
    <row r="179" spans="1:20" x14ac:dyDescent="0.25">
      <c r="B179" s="56" t="s">
        <v>1216</v>
      </c>
      <c r="C179" s="56"/>
      <c r="E179" s="46"/>
      <c r="F179" s="54"/>
      <c r="G179" s="54"/>
      <c r="H179" s="54"/>
      <c r="I179" s="54"/>
      <c r="J179" s="54"/>
      <c r="K179" s="54"/>
      <c r="L179" s="54"/>
      <c r="M179" s="187" t="s">
        <v>999</v>
      </c>
      <c r="N179" s="187"/>
      <c r="O179" s="187"/>
      <c r="P179" s="187"/>
      <c r="R179" s="16"/>
      <c r="T179" s="11" t="str">
        <f>IF(OR(AND(ISBLANK(R179),R178="Yes"),AND(NOT(ISBLANK(R179)),R178&lt;&gt;"Yes")),"R","G")</f>
        <v>G</v>
      </c>
    </row>
    <row r="180" spans="1:20" x14ac:dyDescent="0.25"/>
    <row r="181" spans="1:20" ht="7.35" customHeight="1" x14ac:dyDescent="0.25">
      <c r="B181" s="71"/>
      <c r="C181" s="71"/>
      <c r="D181" s="15"/>
      <c r="E181" s="15"/>
      <c r="F181" s="15"/>
      <c r="G181" s="15"/>
      <c r="H181" s="15"/>
      <c r="I181" s="15"/>
      <c r="J181" s="15"/>
      <c r="K181" s="15"/>
      <c r="L181" s="15"/>
      <c r="M181" s="72"/>
      <c r="N181" s="72"/>
      <c r="O181" s="72"/>
      <c r="P181" s="72"/>
      <c r="Q181" s="73"/>
      <c r="R181" s="74"/>
    </row>
    <row r="182" spans="1:20" ht="7.15" customHeight="1" x14ac:dyDescent="0.25">
      <c r="A182" s="75"/>
      <c r="B182" s="76"/>
      <c r="C182" s="76"/>
      <c r="D182" s="77"/>
      <c r="E182" s="77"/>
      <c r="F182" s="77"/>
      <c r="G182" s="77"/>
      <c r="H182" s="77"/>
      <c r="I182" s="77"/>
      <c r="J182" s="77"/>
      <c r="K182" s="77"/>
      <c r="L182" s="77"/>
      <c r="M182" s="77"/>
      <c r="N182" s="77"/>
      <c r="O182" s="77"/>
      <c r="P182" s="77"/>
      <c r="Q182" s="75"/>
      <c r="R182" s="78"/>
      <c r="S182" s="75"/>
      <c r="T182" s="12"/>
    </row>
    <row r="183" spans="1:20" ht="7.35" customHeight="1" x14ac:dyDescent="0.25">
      <c r="B183" s="71"/>
      <c r="C183" s="71"/>
      <c r="D183" s="15"/>
      <c r="E183" s="15"/>
      <c r="F183" s="15"/>
      <c r="G183" s="15"/>
      <c r="H183" s="15"/>
      <c r="I183" s="15"/>
      <c r="J183" s="15"/>
      <c r="K183" s="15"/>
      <c r="L183" s="15"/>
      <c r="M183" s="15"/>
      <c r="N183" s="15"/>
      <c r="O183" s="15"/>
      <c r="P183" s="15"/>
      <c r="R183" s="74"/>
    </row>
    <row r="184" spans="1:20" ht="19.5" thickBot="1" x14ac:dyDescent="0.3">
      <c r="A184" s="37"/>
      <c r="B184" s="38" t="s">
        <v>187</v>
      </c>
      <c r="C184" s="38"/>
      <c r="D184" s="39" t="s">
        <v>136</v>
      </c>
      <c r="E184" s="40"/>
      <c r="F184" s="40"/>
      <c r="G184" s="40"/>
      <c r="H184" s="40"/>
      <c r="I184" s="40"/>
      <c r="J184" s="40"/>
      <c r="K184" s="40"/>
      <c r="L184" s="40"/>
      <c r="M184" s="40"/>
      <c r="N184" s="40"/>
      <c r="O184" s="40"/>
      <c r="P184" s="40"/>
      <c r="Q184" s="37"/>
      <c r="R184" s="42"/>
      <c r="S184" s="37"/>
    </row>
    <row r="185" spans="1:20" x14ac:dyDescent="0.25"/>
    <row r="186" spans="1:20" ht="28.5" customHeight="1" x14ac:dyDescent="0.25">
      <c r="B186" s="15" t="s">
        <v>138</v>
      </c>
      <c r="D186" s="184" t="s">
        <v>897</v>
      </c>
      <c r="E186" s="184"/>
      <c r="F186" s="184"/>
      <c r="G186" s="184"/>
      <c r="H186" s="184"/>
      <c r="I186" s="184"/>
      <c r="J186" s="184"/>
      <c r="K186" s="184"/>
      <c r="L186" s="184"/>
      <c r="M186" s="184"/>
      <c r="N186" s="184"/>
      <c r="O186" s="184"/>
      <c r="P186" s="54"/>
      <c r="R186" s="16"/>
      <c r="T186" s="11" t="str">
        <f>IF(ISBLANK(R186),"R","G")</f>
        <v>R</v>
      </c>
    </row>
    <row r="187" spans="1:20" x14ac:dyDescent="0.25"/>
    <row r="188" spans="1:20" x14ac:dyDescent="0.25">
      <c r="B188" s="15" t="s">
        <v>139</v>
      </c>
      <c r="D188" s="184" t="s">
        <v>1288</v>
      </c>
      <c r="E188" s="184"/>
      <c r="F188" s="184"/>
      <c r="G188" s="184"/>
      <c r="H188" s="184"/>
      <c r="I188" s="184"/>
      <c r="J188" s="184"/>
      <c r="K188" s="184"/>
      <c r="L188" s="184"/>
      <c r="M188" s="184"/>
      <c r="N188" s="184"/>
      <c r="O188" s="184"/>
      <c r="P188" s="54"/>
      <c r="R188" s="16"/>
      <c r="T188" s="11" t="str">
        <f>IF(OR(AND(AND($R$186&lt;&gt;"BRA not carried out",NOT(ISBLANK($R$186))),ISBLANK(R188)),AND(OR($R$186="BRA not carried out",ISBLANK($R$186)),NOT(ISBLANK(R188)))),"R","G")</f>
        <v>G</v>
      </c>
    </row>
    <row r="189" spans="1:20" x14ac:dyDescent="0.25"/>
    <row r="190" spans="1:20" x14ac:dyDescent="0.25">
      <c r="B190" s="15" t="s">
        <v>140</v>
      </c>
      <c r="D190" s="184" t="s">
        <v>898</v>
      </c>
      <c r="E190" s="184"/>
      <c r="F190" s="184"/>
      <c r="G190" s="184"/>
      <c r="H190" s="184"/>
      <c r="I190" s="184"/>
      <c r="J190" s="184"/>
      <c r="K190" s="184"/>
      <c r="L190" s="184"/>
      <c r="M190" s="184"/>
      <c r="N190" s="184"/>
      <c r="O190" s="184"/>
      <c r="P190" s="54"/>
      <c r="R190" s="16"/>
      <c r="T190" s="11" t="str">
        <f>IF(OR(AND(AND($R$186&lt;&gt;"BRA not carried out",NOT(ISBLANK($R$186))),ISBLANK(R190)),AND(OR($R$186="BRA not carried out",ISBLANK($R$186)),NOT(ISBLANK(R190)))),"R","G")</f>
        <v>G</v>
      </c>
    </row>
    <row r="191" spans="1:20" x14ac:dyDescent="0.25"/>
    <row r="192" spans="1:20" ht="66" customHeight="1" x14ac:dyDescent="0.25">
      <c r="B192" s="15" t="s">
        <v>141</v>
      </c>
      <c r="D192" s="184" t="s">
        <v>1371</v>
      </c>
      <c r="E192" s="184"/>
      <c r="F192" s="184"/>
      <c r="G192" s="184"/>
      <c r="H192" s="184"/>
      <c r="I192" s="184"/>
      <c r="J192" s="184"/>
      <c r="K192" s="184"/>
      <c r="L192" s="184"/>
      <c r="M192" s="184"/>
      <c r="N192" s="184"/>
      <c r="O192" s="184"/>
      <c r="P192" s="54"/>
      <c r="R192" s="16"/>
      <c r="T192" s="11" t="str">
        <f>IF(OR(AND(AND($R$186&lt;&gt;"BRA not carried out",NOT(ISBLANK($R$186))),ISBLANK(R192)),AND(OR($R$186="BRA not carried out",ISBLANK($R$186)),NOT(ISBLANK(R192)))),"R","G")</f>
        <v>G</v>
      </c>
    </row>
    <row r="193" spans="1:20" x14ac:dyDescent="0.25"/>
    <row r="194" spans="1:20" ht="66" customHeight="1" x14ac:dyDescent="0.25">
      <c r="B194" s="15" t="s">
        <v>142</v>
      </c>
      <c r="D194" s="184" t="s">
        <v>1372</v>
      </c>
      <c r="E194" s="184"/>
      <c r="F194" s="184"/>
      <c r="G194" s="184"/>
      <c r="H194" s="184"/>
      <c r="I194" s="184"/>
      <c r="J194" s="184"/>
      <c r="K194" s="184"/>
      <c r="L194" s="184"/>
      <c r="M194" s="184"/>
      <c r="N194" s="184"/>
      <c r="O194" s="184"/>
      <c r="P194" s="54"/>
      <c r="R194" s="16"/>
      <c r="T194" s="11" t="str">
        <f>IF(OR(AND(AND($R$186&lt;&gt;"BRA not carried out",NOT(ISBLANK($R$186))),ISBLANK(R194)),AND(OR($R$186="BRA not carried out",ISBLANK($R$186)),NOT(ISBLANK(R194)))),"R","G")</f>
        <v>G</v>
      </c>
    </row>
    <row r="195" spans="1:20" x14ac:dyDescent="0.25"/>
    <row r="196" spans="1:20" ht="66" customHeight="1" x14ac:dyDescent="0.25">
      <c r="B196" s="15" t="s">
        <v>143</v>
      </c>
      <c r="D196" s="184" t="s">
        <v>1373</v>
      </c>
      <c r="E196" s="184"/>
      <c r="F196" s="184"/>
      <c r="G196" s="184"/>
      <c r="H196" s="184"/>
      <c r="I196" s="184"/>
      <c r="J196" s="184"/>
      <c r="K196" s="184"/>
      <c r="L196" s="184"/>
      <c r="M196" s="184"/>
      <c r="N196" s="184"/>
      <c r="O196" s="184"/>
      <c r="P196" s="54"/>
      <c r="R196" s="16"/>
      <c r="T196" s="11" t="str">
        <f>IF(OR(AND(AND($R$186&lt;&gt;"BRA not carried out",NOT(ISBLANK($R$186))),ISBLANK(R196)),AND(OR($R$186="BRA not carried out",ISBLANK($R$186)),NOT(ISBLANK(R196)))),"R","G")</f>
        <v>G</v>
      </c>
    </row>
    <row r="197" spans="1:20" x14ac:dyDescent="0.25"/>
    <row r="198" spans="1:20" ht="27.75" customHeight="1" x14ac:dyDescent="0.25">
      <c r="B198" s="15" t="s">
        <v>144</v>
      </c>
      <c r="D198" s="199" t="s">
        <v>1289</v>
      </c>
      <c r="E198" s="199"/>
      <c r="F198" s="199"/>
      <c r="G198" s="199"/>
      <c r="H198" s="199"/>
      <c r="I198" s="199"/>
      <c r="J198" s="199"/>
      <c r="K198" s="199"/>
      <c r="L198" s="199"/>
      <c r="M198" s="199"/>
      <c r="N198" s="199"/>
      <c r="O198" s="199"/>
      <c r="P198" s="52"/>
      <c r="R198" s="16"/>
      <c r="T198" s="11" t="str">
        <f>IF(AND(ISBLANK(R186),T186="R"),"G",
IF(AND(ISBLANK(R198),R199="Not Applicable"),"G",
IF(OR(AND(AND($R$186&lt;&gt;"BRA not carried out",NOT(ISBLANK($R$186))),ISBLANK(R198)),AND(OR($R$186="BRA not carried out",ISBLANK($R$186)),NOT(ISBLANK(R198))),AND(ISBLANK(R198),ISBLANK(R199)),AND(NOT(ISBLANK(R198)),NOT(ISBLANK(R199))),AND(ISBLANK(R198),ISBLANK(R199))),"R","G")))</f>
        <v>G</v>
      </c>
    </row>
    <row r="199" spans="1:20" x14ac:dyDescent="0.25">
      <c r="B199" s="53" t="s">
        <v>1326</v>
      </c>
      <c r="D199" s="44"/>
      <c r="E199" s="44"/>
      <c r="F199" s="44"/>
      <c r="G199" s="44"/>
      <c r="H199" s="44"/>
      <c r="I199" s="44"/>
      <c r="J199" s="44"/>
      <c r="K199" s="44"/>
      <c r="L199" s="44"/>
      <c r="M199" s="44"/>
      <c r="N199" s="44"/>
      <c r="O199" s="185" t="s">
        <v>305</v>
      </c>
      <c r="P199" s="185"/>
      <c r="R199" s="16"/>
      <c r="T199" s="11" t="str">
        <f>IF(OR(ISBLANK($R$186),$R$186="BRA not carried out"),"G",IF(OR(AND(ISBLANK($R$198),$R$199="Not Applicable"),AND(NOT(ISBLANK($R$198)),ISBLANK($R$199))),"G","R"))</f>
        <v>G</v>
      </c>
    </row>
    <row r="200" spans="1:20" ht="15" customHeight="1" collapsed="1" x14ac:dyDescent="0.25">
      <c r="B200" s="94"/>
      <c r="C200" s="94"/>
      <c r="D200" s="126"/>
      <c r="E200" s="126"/>
      <c r="F200" s="126"/>
      <c r="G200" s="126"/>
      <c r="H200" s="126"/>
      <c r="I200" s="126"/>
      <c r="J200" s="126"/>
      <c r="K200" s="126"/>
      <c r="L200" s="127"/>
      <c r="M200" s="127"/>
      <c r="N200" s="127"/>
      <c r="O200" s="127"/>
      <c r="P200" s="127"/>
      <c r="Q200" s="26"/>
      <c r="T200" s="128"/>
    </row>
    <row r="201" spans="1:20" ht="66" customHeight="1" x14ac:dyDescent="0.25">
      <c r="B201" s="15" t="s">
        <v>145</v>
      </c>
      <c r="D201" s="184" t="s">
        <v>1374</v>
      </c>
      <c r="E201" s="184"/>
      <c r="F201" s="184"/>
      <c r="G201" s="184"/>
      <c r="H201" s="184"/>
      <c r="I201" s="184"/>
      <c r="J201" s="184"/>
      <c r="K201" s="184"/>
      <c r="L201" s="184"/>
      <c r="M201" s="184"/>
      <c r="N201" s="184"/>
      <c r="O201" s="184"/>
      <c r="P201" s="54"/>
      <c r="R201" s="16"/>
      <c r="T201" s="11" t="str">
        <f t="shared" ref="T201" si="4">IF(OR(AND(AND($R$186&lt;&gt;"BRA not carried out",NOT(ISBLANK($R$186))),ISBLANK(R201)),AND(OR($R$186="BRA not carried out",ISBLANK($R$186)),NOT(ISBLANK(R201)))),"R","G")</f>
        <v>G</v>
      </c>
    </row>
    <row r="202" spans="1:20" x14ac:dyDescent="0.25"/>
    <row r="203" spans="1:20" x14ac:dyDescent="0.25">
      <c r="B203" s="15" t="s">
        <v>146</v>
      </c>
      <c r="D203" s="184" t="s">
        <v>899</v>
      </c>
      <c r="E203" s="184"/>
      <c r="F203" s="184"/>
      <c r="G203" s="184"/>
      <c r="H203" s="184"/>
      <c r="I203" s="184"/>
      <c r="J203" s="184"/>
      <c r="K203" s="184"/>
      <c r="L203" s="184"/>
      <c r="M203" s="184"/>
      <c r="N203" s="184"/>
      <c r="O203" s="184"/>
      <c r="P203" s="54"/>
      <c r="R203" s="16"/>
      <c r="T203" s="11" t="str">
        <f t="shared" ref="T203" si="5">IF(OR(AND(AND($R$186&lt;&gt;"BRA not carried out",NOT(ISBLANK($R$186))),ISBLANK(R203)),AND(OR($R$186="BRA not carried out",ISBLANK($R$186)),NOT(ISBLANK(R203)))),"R","G")</f>
        <v>G</v>
      </c>
    </row>
    <row r="204" spans="1:20" x14ac:dyDescent="0.25"/>
    <row r="205" spans="1:20" ht="7.35" customHeight="1" x14ac:dyDescent="0.25">
      <c r="B205" s="71"/>
      <c r="C205" s="71"/>
      <c r="D205" s="15"/>
      <c r="E205" s="15"/>
      <c r="F205" s="15"/>
      <c r="G205" s="15"/>
      <c r="H205" s="15"/>
      <c r="I205" s="15"/>
      <c r="J205" s="15"/>
      <c r="K205" s="15"/>
      <c r="L205" s="15"/>
      <c r="M205" s="72"/>
      <c r="N205" s="72"/>
      <c r="O205" s="72"/>
      <c r="P205" s="72"/>
      <c r="Q205" s="73"/>
      <c r="R205" s="74"/>
    </row>
    <row r="206" spans="1:20" ht="7.15" customHeight="1" x14ac:dyDescent="0.25">
      <c r="A206" s="75"/>
      <c r="B206" s="76"/>
      <c r="C206" s="76"/>
      <c r="D206" s="77"/>
      <c r="E206" s="77"/>
      <c r="F206" s="77"/>
      <c r="G206" s="77"/>
      <c r="H206" s="77"/>
      <c r="I206" s="77"/>
      <c r="J206" s="77"/>
      <c r="K206" s="77"/>
      <c r="L206" s="77"/>
      <c r="M206" s="77"/>
      <c r="N206" s="77"/>
      <c r="O206" s="77"/>
      <c r="P206" s="77"/>
      <c r="Q206" s="75"/>
      <c r="R206" s="78"/>
      <c r="S206" s="75"/>
      <c r="T206" s="12"/>
    </row>
    <row r="207" spans="1:20" ht="7.35" customHeight="1" x14ac:dyDescent="0.25">
      <c r="B207" s="71"/>
      <c r="C207" s="71"/>
      <c r="D207" s="15"/>
      <c r="E207" s="15"/>
      <c r="F207" s="15"/>
      <c r="G207" s="15"/>
      <c r="H207" s="15"/>
      <c r="I207" s="15"/>
      <c r="J207" s="15"/>
      <c r="K207" s="15"/>
      <c r="L207" s="15"/>
      <c r="M207" s="15"/>
      <c r="N207" s="15"/>
      <c r="O207" s="15"/>
      <c r="P207" s="15"/>
      <c r="R207" s="74"/>
    </row>
    <row r="208" spans="1:20" ht="19.5" thickBot="1" x14ac:dyDescent="0.3">
      <c r="A208" s="37"/>
      <c r="B208" s="38" t="s">
        <v>153</v>
      </c>
      <c r="C208" s="38"/>
      <c r="D208" s="39" t="s">
        <v>935</v>
      </c>
      <c r="E208" s="40"/>
      <c r="F208" s="40"/>
      <c r="G208" s="40"/>
      <c r="H208" s="40"/>
      <c r="I208" s="40"/>
      <c r="J208" s="40"/>
      <c r="K208" s="40"/>
      <c r="L208" s="40"/>
      <c r="M208" s="40"/>
      <c r="N208" s="40"/>
      <c r="O208" s="40"/>
      <c r="P208" s="40"/>
      <c r="Q208" s="37"/>
      <c r="R208" s="42"/>
      <c r="S208" s="37"/>
    </row>
    <row r="209" spans="1:20" x14ac:dyDescent="0.25"/>
    <row r="210" spans="1:20" x14ac:dyDescent="0.25">
      <c r="B210" s="15" t="s">
        <v>158</v>
      </c>
      <c r="D210" s="197" t="s">
        <v>900</v>
      </c>
      <c r="E210" s="197"/>
      <c r="F210" s="197"/>
      <c r="G210" s="197"/>
      <c r="H210" s="197"/>
      <c r="I210" s="197"/>
      <c r="J210" s="197"/>
      <c r="K210" s="197"/>
      <c r="L210" s="197"/>
      <c r="M210" s="197"/>
      <c r="N210" s="197"/>
      <c r="O210" s="197"/>
      <c r="R210" s="16"/>
      <c r="T210" s="11" t="str">
        <f>IF(ISBLANK(R210),"R","G")</f>
        <v>R</v>
      </c>
    </row>
    <row r="211" spans="1:20" x14ac:dyDescent="0.25"/>
    <row r="212" spans="1:20" x14ac:dyDescent="0.25">
      <c r="B212" s="15" t="s">
        <v>159</v>
      </c>
      <c r="D212" s="184" t="s">
        <v>934</v>
      </c>
      <c r="E212" s="184"/>
      <c r="F212" s="184"/>
      <c r="G212" s="184"/>
      <c r="H212" s="184"/>
      <c r="I212" s="184"/>
      <c r="J212" s="184"/>
      <c r="K212" s="184"/>
      <c r="L212" s="184"/>
      <c r="M212" s="184"/>
      <c r="N212" s="184"/>
      <c r="O212" s="184"/>
      <c r="P212" s="54"/>
      <c r="R212" s="16"/>
      <c r="T212" s="11" t="str">
        <f>IF(OR(AND($R$210="Yes",ISBLANK(R212)),AND($R$210&lt;&gt;"Yes",NOT(ISBLANK(R212)))),"R","G")</f>
        <v>G</v>
      </c>
    </row>
    <row r="213" spans="1:20" x14ac:dyDescent="0.25"/>
    <row r="214" spans="1:20" ht="46.5" customHeight="1" x14ac:dyDescent="0.25">
      <c r="B214" s="15" t="s">
        <v>160</v>
      </c>
      <c r="D214" s="184" t="s">
        <v>901</v>
      </c>
      <c r="E214" s="184"/>
      <c r="F214" s="184"/>
      <c r="G214" s="184"/>
      <c r="H214" s="184"/>
      <c r="I214" s="184"/>
      <c r="J214" s="184"/>
      <c r="K214" s="184"/>
      <c r="L214" s="184"/>
      <c r="M214" s="184"/>
      <c r="N214" s="184"/>
      <c r="O214" s="184"/>
      <c r="P214" s="54"/>
      <c r="R214" s="16"/>
      <c r="T214" s="11" t="str">
        <f>IF(OR(AND($R$212="Yes",$R$210="Yes",ISBLANK(R214)),AND(OR($R$212&lt;&gt;"Yes",$R$210&lt;&gt;"Yes"),NOT(ISBLANK(R214)))),"R","G")</f>
        <v>G</v>
      </c>
    </row>
    <row r="215" spans="1:20" x14ac:dyDescent="0.25">
      <c r="D215" s="54"/>
      <c r="E215" s="54"/>
      <c r="F215" s="54"/>
      <c r="G215" s="54"/>
      <c r="H215" s="54"/>
      <c r="I215" s="54"/>
      <c r="J215" s="54"/>
      <c r="K215" s="54"/>
      <c r="L215" s="54"/>
      <c r="M215" s="54"/>
      <c r="N215" s="54"/>
      <c r="O215" s="54"/>
      <c r="P215" s="54"/>
      <c r="R215" s="10"/>
      <c r="T215" s="11"/>
    </row>
    <row r="216" spans="1:20" ht="51.75" customHeight="1" x14ac:dyDescent="0.25">
      <c r="B216" s="15" t="s">
        <v>161</v>
      </c>
      <c r="D216" s="184" t="s">
        <v>1290</v>
      </c>
      <c r="E216" s="184"/>
      <c r="F216" s="184"/>
      <c r="G216" s="184"/>
      <c r="H216" s="184"/>
      <c r="I216" s="184"/>
      <c r="J216" s="184"/>
      <c r="K216" s="184"/>
      <c r="L216" s="184"/>
      <c r="M216" s="184"/>
      <c r="N216" s="184"/>
      <c r="O216" s="184"/>
      <c r="P216" s="54"/>
      <c r="R216" s="16"/>
      <c r="T216" s="11" t="str">
        <f>IF(OR(AND(OR(R210="Yes",R210="No"),T217="R"),AND(AND(R210&lt;&gt;"Yes",R210&lt;&gt;"No"),T217="R")),"R","G")</f>
        <v>G</v>
      </c>
    </row>
    <row r="217" spans="1:20" x14ac:dyDescent="0.25">
      <c r="A217" s="52"/>
      <c r="B217" s="53" t="s">
        <v>937</v>
      </c>
      <c r="C217" s="53"/>
      <c r="M217" s="187" t="s">
        <v>936</v>
      </c>
      <c r="N217" s="187"/>
      <c r="O217" s="187"/>
      <c r="P217" s="187"/>
      <c r="Q217" s="52"/>
      <c r="R217" s="61"/>
      <c r="T217" s="11" t="str">
        <f>IF(OR(R210="Yes",R210="No"),IF(OR(AND(ISBLANK(R216),ISBLANK(R217)),AND(NOT(ISBLANK(R216)),R217="Not Available")),"R","G"),IF(AND(R210&lt;&gt;"Yes",R210&lt;&gt;"No"),IF(OR(AND(NOT(ISBLANK(R216)),NOT(ISBLANK(R217))),AND(ISBLANK(R216),R217="Not Available"),AND(NOT(ISBLANK(R216)),R217&lt;&gt;"Not Available")),"R","G")))</f>
        <v>G</v>
      </c>
    </row>
    <row r="218" spans="1:20" x14ac:dyDescent="0.25">
      <c r="A218" s="26"/>
      <c r="B218" s="26"/>
      <c r="C218" s="26"/>
      <c r="D218" s="26"/>
      <c r="E218" s="26"/>
      <c r="F218" s="26"/>
      <c r="G218" s="26"/>
      <c r="H218" s="26"/>
      <c r="I218" s="26"/>
      <c r="J218" s="26"/>
      <c r="K218" s="26"/>
      <c r="L218" s="26"/>
      <c r="M218" s="26"/>
      <c r="N218" s="26"/>
      <c r="O218" s="26"/>
      <c r="P218" s="26"/>
      <c r="Q218" s="26"/>
    </row>
    <row r="219" spans="1:20" ht="31.5" customHeight="1" x14ac:dyDescent="0.25">
      <c r="B219" s="15" t="s">
        <v>162</v>
      </c>
      <c r="D219" s="184" t="s">
        <v>902</v>
      </c>
      <c r="E219" s="184"/>
      <c r="F219" s="184"/>
      <c r="G219" s="184"/>
      <c r="H219" s="184"/>
      <c r="I219" s="184"/>
      <c r="J219" s="184"/>
      <c r="K219" s="184"/>
      <c r="L219" s="184"/>
      <c r="M219" s="184"/>
      <c r="N219" s="184"/>
      <c r="O219" s="184"/>
      <c r="P219" s="54"/>
      <c r="R219" s="67"/>
      <c r="T219" s="11" t="str">
        <f>IF(OR(AND(OR($R$210="Yes",$R$210="No"),ISBLANK(R219)),AND(AND($R$210&lt;&gt;"Yes",$R$210&lt;&gt;"No"),NOT(ISBLANK(R219)))),"R","G")</f>
        <v>G</v>
      </c>
    </row>
    <row r="220" spans="1:20" x14ac:dyDescent="0.25"/>
    <row r="221" spans="1:20" x14ac:dyDescent="0.25">
      <c r="B221" s="15" t="s">
        <v>163</v>
      </c>
      <c r="D221" s="184" t="s">
        <v>903</v>
      </c>
      <c r="E221" s="184"/>
      <c r="F221" s="184"/>
      <c r="G221" s="184"/>
      <c r="H221" s="184"/>
      <c r="I221" s="184"/>
      <c r="J221" s="184"/>
      <c r="K221" s="184"/>
      <c r="L221" s="184"/>
      <c r="M221" s="184"/>
      <c r="N221" s="184"/>
      <c r="O221" s="184"/>
      <c r="P221" s="54"/>
      <c r="R221" s="16"/>
      <c r="T221" s="11" t="str">
        <f>IF(ISBLANK(R221),"R","G")</f>
        <v>R</v>
      </c>
    </row>
    <row r="222" spans="1:20" x14ac:dyDescent="0.25"/>
    <row r="223" spans="1:20" ht="56.25" customHeight="1" x14ac:dyDescent="0.25">
      <c r="B223" s="15" t="s">
        <v>164</v>
      </c>
      <c r="D223" s="184" t="s">
        <v>154</v>
      </c>
      <c r="E223" s="184"/>
      <c r="F223" s="184"/>
      <c r="G223" s="184"/>
      <c r="H223" s="184"/>
      <c r="I223" s="184"/>
      <c r="J223" s="184"/>
      <c r="K223" s="184"/>
      <c r="L223" s="184"/>
      <c r="M223" s="184"/>
      <c r="N223" s="184"/>
      <c r="O223" s="184"/>
      <c r="P223" s="54"/>
      <c r="R223" s="16"/>
      <c r="T223" s="11" t="str">
        <f>IF(OR(AND($R$221="Yes",ISBLANK(R223)),AND($R$221&lt;&gt;"Yes",NOT(ISBLANK(R223)))),"R","G")</f>
        <v>G</v>
      </c>
    </row>
    <row r="224" spans="1:20" x14ac:dyDescent="0.25">
      <c r="D224" s="54"/>
      <c r="E224" s="54"/>
      <c r="F224" s="54"/>
      <c r="G224" s="54"/>
      <c r="H224" s="54"/>
      <c r="I224" s="54"/>
      <c r="J224" s="54"/>
      <c r="K224" s="54"/>
      <c r="L224" s="54"/>
      <c r="M224" s="10"/>
      <c r="N224" s="10"/>
      <c r="O224" s="10"/>
      <c r="P224" s="10"/>
      <c r="R224" s="10"/>
      <c r="T224" s="11"/>
    </row>
    <row r="225" spans="1:21" ht="30.75" customHeight="1" x14ac:dyDescent="0.25">
      <c r="B225" s="15" t="s">
        <v>165</v>
      </c>
      <c r="D225" s="184" t="s">
        <v>904</v>
      </c>
      <c r="E225" s="184"/>
      <c r="F225" s="184"/>
      <c r="G225" s="184"/>
      <c r="H225" s="184"/>
      <c r="I225" s="184"/>
      <c r="J225" s="184"/>
      <c r="K225" s="184"/>
      <c r="L225" s="184"/>
      <c r="M225" s="184"/>
      <c r="N225" s="184"/>
      <c r="O225" s="184"/>
      <c r="P225" s="54"/>
      <c r="R225" s="16"/>
      <c r="T225" s="11" t="str">
        <f>IF(ISBLANK(R225),"R","G")</f>
        <v>R</v>
      </c>
    </row>
    <row r="226" spans="1:21" x14ac:dyDescent="0.25">
      <c r="D226" s="54"/>
      <c r="E226" s="54"/>
      <c r="F226" s="54"/>
      <c r="G226" s="54"/>
      <c r="H226" s="54"/>
      <c r="I226" s="54"/>
      <c r="J226" s="54"/>
      <c r="K226" s="54"/>
      <c r="L226" s="54"/>
      <c r="M226" s="10"/>
      <c r="N226" s="10"/>
      <c r="O226" s="10"/>
      <c r="P226" s="10"/>
      <c r="R226" s="10"/>
      <c r="T226" s="11"/>
    </row>
    <row r="227" spans="1:21" ht="30.75" customHeight="1" x14ac:dyDescent="0.25">
      <c r="B227" s="15" t="s">
        <v>166</v>
      </c>
      <c r="D227" s="184" t="s">
        <v>1291</v>
      </c>
      <c r="E227" s="184"/>
      <c r="F227" s="184"/>
      <c r="G227" s="184"/>
      <c r="H227" s="184"/>
      <c r="I227" s="184"/>
      <c r="J227" s="184"/>
      <c r="K227" s="184"/>
      <c r="L227" s="184"/>
      <c r="M227" s="184"/>
      <c r="N227" s="184"/>
      <c r="O227" s="184"/>
      <c r="P227" s="54"/>
      <c r="R227" s="67"/>
      <c r="T227" s="11" t="str">
        <f>IF(OR(R227&lt;0,ISBLANK(R227)),"R","G")</f>
        <v>R</v>
      </c>
    </row>
    <row r="228" spans="1:21" x14ac:dyDescent="0.25"/>
    <row r="229" spans="1:21" ht="30.6" customHeight="1" x14ac:dyDescent="0.25">
      <c r="B229" s="15" t="s">
        <v>167</v>
      </c>
      <c r="D229" s="184" t="s">
        <v>1292</v>
      </c>
      <c r="E229" s="184"/>
      <c r="F229" s="184"/>
      <c r="G229" s="184"/>
      <c r="H229" s="184"/>
      <c r="I229" s="184"/>
      <c r="J229" s="184"/>
      <c r="K229" s="184"/>
      <c r="L229" s="184"/>
      <c r="M229" s="184"/>
      <c r="N229" s="184"/>
      <c r="O229" s="184"/>
      <c r="P229" s="54"/>
      <c r="R229" s="67"/>
      <c r="T229" s="11" t="str">
        <f>IF(AND(NOT(ISBLANK($R$229)),NOT(ISBLANK($R$230))),"R",IF(OR(AND(ISBLANK($R$229),$R$230="Not Applicable"),AND(NOT(ISBLANK($R$229)),ISBLANK($R$230))),"G","R"))</f>
        <v>R</v>
      </c>
    </row>
    <row r="230" spans="1:21" x14ac:dyDescent="0.25">
      <c r="A230" s="52"/>
      <c r="B230" s="53" t="s">
        <v>1327</v>
      </c>
      <c r="C230" s="53"/>
      <c r="M230" s="187" t="s">
        <v>305</v>
      </c>
      <c r="N230" s="187"/>
      <c r="O230" s="187"/>
      <c r="P230" s="187"/>
      <c r="Q230" s="52"/>
      <c r="R230" s="61"/>
      <c r="T230" s="11" t="str">
        <f>IF(AND(NOT(ISBLANK($R$229)),NOT(ISBLANK($R$230))),"R",IF(OR(AND(ISBLANK($R$229),$R$230="Not Applicable"),AND(NOT(ISBLANK($R$229)),ISBLANK($R$230))),"G","R"))</f>
        <v>R</v>
      </c>
    </row>
    <row r="231" spans="1:21" x14ac:dyDescent="0.25"/>
    <row r="232" spans="1:21" ht="41.25" customHeight="1" x14ac:dyDescent="0.25">
      <c r="B232" s="15" t="s">
        <v>168</v>
      </c>
      <c r="D232" s="197" t="s">
        <v>155</v>
      </c>
      <c r="E232" s="197"/>
      <c r="F232" s="197"/>
      <c r="G232" s="197"/>
      <c r="H232" s="197"/>
      <c r="I232" s="197"/>
      <c r="J232" s="197"/>
      <c r="K232" s="197"/>
      <c r="L232" s="197"/>
      <c r="M232" s="197"/>
      <c r="N232" s="197"/>
      <c r="O232" s="197"/>
      <c r="R232" s="16"/>
      <c r="T232" s="11" t="str">
        <f>IF(OR(AND(R229&gt;0,ISBLANK(R232)),AND(R229&lt;=0,NOT(ISBLANK(R232)))),"R","G")</f>
        <v>G</v>
      </c>
    </row>
    <row r="233" spans="1:21" x14ac:dyDescent="0.25"/>
    <row r="234" spans="1:21" s="15" customFormat="1" ht="24" customHeight="1" x14ac:dyDescent="0.25">
      <c r="D234" s="184" t="s">
        <v>941</v>
      </c>
      <c r="E234" s="184"/>
      <c r="F234" s="184"/>
      <c r="G234" s="184"/>
      <c r="H234" s="184"/>
      <c r="I234" s="184"/>
      <c r="J234" s="184"/>
      <c r="K234" s="184"/>
      <c r="L234" s="184"/>
      <c r="M234" s="184"/>
      <c r="N234" s="184"/>
      <c r="O234" s="184"/>
      <c r="P234" s="54"/>
      <c r="R234" s="26"/>
      <c r="U234" s="155"/>
    </row>
    <row r="235" spans="1:21" s="15" customFormat="1" ht="20.25" customHeight="1" x14ac:dyDescent="0.25">
      <c r="B235" s="15" t="s">
        <v>169</v>
      </c>
      <c r="D235" s="184" t="s">
        <v>942</v>
      </c>
      <c r="E235" s="184"/>
      <c r="F235" s="184"/>
      <c r="G235" s="184"/>
      <c r="H235" s="184"/>
      <c r="I235" s="184"/>
      <c r="J235" s="184"/>
      <c r="K235" s="184"/>
      <c r="L235" s="184"/>
      <c r="M235" s="184"/>
      <c r="N235" s="184"/>
      <c r="O235" s="184"/>
      <c r="P235" s="54"/>
      <c r="R235" s="26"/>
      <c r="T235" s="154" t="str">
        <f>IF(AND(COUNTBLANK(R236:R241)=0,NOT(ISBLANK(R242))),"R",IF(AND($R$221="Yes",COUNTBLANK(R236:R241)&gt;0,ISBLANK(R242)),"R","G"))</f>
        <v>G</v>
      </c>
      <c r="U235" s="155"/>
    </row>
    <row r="236" spans="1:21" ht="15" customHeight="1" x14ac:dyDescent="0.25">
      <c r="B236" s="46" t="s">
        <v>1350</v>
      </c>
      <c r="C236" s="46"/>
      <c r="D236" s="84"/>
      <c r="E236" s="84" t="s">
        <v>943</v>
      </c>
      <c r="F236" s="54"/>
      <c r="G236" s="54"/>
      <c r="H236" s="54"/>
      <c r="I236" s="54"/>
      <c r="J236" s="54"/>
      <c r="K236" s="54"/>
      <c r="L236" s="54"/>
      <c r="M236" s="54"/>
      <c r="N236" s="54"/>
      <c r="O236" s="54"/>
      <c r="P236" s="54"/>
      <c r="R236" s="16"/>
    </row>
    <row r="237" spans="1:21" ht="15" customHeight="1" x14ac:dyDescent="0.25">
      <c r="B237" s="46" t="s">
        <v>1351</v>
      </c>
      <c r="D237" s="54"/>
      <c r="E237" s="84" t="s">
        <v>195</v>
      </c>
      <c r="F237" s="54"/>
      <c r="G237" s="54"/>
      <c r="H237" s="54"/>
      <c r="I237" s="54"/>
      <c r="J237" s="54"/>
      <c r="K237" s="54"/>
      <c r="L237" s="54"/>
      <c r="M237" s="54"/>
      <c r="N237" s="54"/>
      <c r="O237" s="54"/>
      <c r="P237" s="54"/>
      <c r="R237" s="16"/>
    </row>
    <row r="238" spans="1:21" ht="15" customHeight="1" x14ac:dyDescent="0.25">
      <c r="B238" s="46" t="s">
        <v>1352</v>
      </c>
      <c r="D238" s="54"/>
      <c r="E238" s="84" t="s">
        <v>944</v>
      </c>
      <c r="F238" s="54"/>
      <c r="G238" s="54"/>
      <c r="H238" s="54"/>
      <c r="I238" s="54"/>
      <c r="J238" s="54"/>
      <c r="K238" s="54"/>
      <c r="L238" s="54"/>
      <c r="M238" s="54"/>
      <c r="N238" s="54"/>
      <c r="O238" s="54"/>
      <c r="P238" s="54"/>
      <c r="R238" s="16"/>
    </row>
    <row r="239" spans="1:21" ht="15" customHeight="1" x14ac:dyDescent="0.25">
      <c r="B239" s="46" t="s">
        <v>1353</v>
      </c>
      <c r="D239" s="54"/>
      <c r="E239" s="84" t="s">
        <v>194</v>
      </c>
      <c r="F239" s="54"/>
      <c r="G239" s="54"/>
      <c r="H239" s="54"/>
      <c r="I239" s="54"/>
      <c r="J239" s="54"/>
      <c r="K239" s="54"/>
      <c r="L239" s="54"/>
      <c r="M239" s="54"/>
      <c r="N239" s="54"/>
      <c r="O239" s="54"/>
      <c r="P239" s="54"/>
      <c r="R239" s="16"/>
    </row>
    <row r="240" spans="1:21" ht="15" customHeight="1" x14ac:dyDescent="0.25">
      <c r="B240" s="46" t="s">
        <v>1354</v>
      </c>
      <c r="D240" s="54"/>
      <c r="E240" s="84" t="s">
        <v>193</v>
      </c>
      <c r="F240" s="54"/>
      <c r="G240" s="54"/>
      <c r="H240" s="54"/>
      <c r="I240" s="54"/>
      <c r="J240" s="54"/>
      <c r="K240" s="54"/>
      <c r="L240" s="54"/>
      <c r="M240" s="54"/>
      <c r="N240" s="54"/>
      <c r="O240" s="54"/>
      <c r="P240" s="54"/>
      <c r="R240" s="16"/>
    </row>
    <row r="241" spans="1:21" ht="15" customHeight="1" x14ac:dyDescent="0.25">
      <c r="B241" s="46" t="s">
        <v>1355</v>
      </c>
      <c r="D241" s="54"/>
      <c r="E241" s="84" t="s">
        <v>128</v>
      </c>
      <c r="F241" s="54"/>
      <c r="G241" s="54"/>
      <c r="H241" s="54"/>
      <c r="I241" s="54"/>
      <c r="J241" s="54"/>
      <c r="K241" s="54"/>
      <c r="L241" s="54"/>
      <c r="M241" s="54"/>
      <c r="N241" s="54"/>
      <c r="O241" s="54"/>
      <c r="P241" s="54"/>
      <c r="R241" s="16"/>
    </row>
    <row r="242" spans="1:21" x14ac:dyDescent="0.25">
      <c r="A242" s="52"/>
      <c r="B242" s="53" t="s">
        <v>1368</v>
      </c>
      <c r="C242" s="53"/>
      <c r="M242" s="187" t="s">
        <v>305</v>
      </c>
      <c r="N242" s="187"/>
      <c r="O242" s="187"/>
      <c r="P242" s="187"/>
      <c r="Q242" s="52"/>
      <c r="R242" s="61"/>
    </row>
    <row r="243" spans="1:21" ht="15" customHeight="1" x14ac:dyDescent="0.25">
      <c r="D243" s="54"/>
      <c r="E243" s="54"/>
      <c r="F243" s="54"/>
      <c r="G243" s="54"/>
      <c r="H243" s="54"/>
      <c r="I243" s="54"/>
      <c r="J243" s="54"/>
      <c r="K243" s="54"/>
      <c r="L243" s="54"/>
      <c r="M243" s="187"/>
      <c r="N243" s="187"/>
      <c r="O243" s="187"/>
      <c r="P243" s="187"/>
      <c r="R243" s="54"/>
    </row>
    <row r="244" spans="1:21" s="15" customFormat="1" ht="20.25" customHeight="1" x14ac:dyDescent="0.25">
      <c r="B244" s="15" t="s">
        <v>170</v>
      </c>
      <c r="D244" s="184" t="s">
        <v>905</v>
      </c>
      <c r="E244" s="184"/>
      <c r="F244" s="184"/>
      <c r="G244" s="184"/>
      <c r="H244" s="184"/>
      <c r="I244" s="184"/>
      <c r="J244" s="184"/>
      <c r="K244" s="184"/>
      <c r="L244" s="184"/>
      <c r="M244" s="184"/>
      <c r="N244" s="184"/>
      <c r="O244" s="184"/>
      <c r="P244" s="54"/>
      <c r="R244" s="26"/>
      <c r="T244" s="154" t="str">
        <f>IF(AND(COUNTBLANK(R245:R250)=0,NOT(ISBLANK(R251))),"R",IF(AND($R$221="Yes",COUNTBLANK(R245:R250)&gt;0,ISBLANK(R251)),"R","G"))</f>
        <v>G</v>
      </c>
      <c r="U244" s="155"/>
    </row>
    <row r="245" spans="1:21" ht="15" customHeight="1" x14ac:dyDescent="0.25">
      <c r="B245" s="46" t="s">
        <v>1356</v>
      </c>
      <c r="D245" s="54"/>
      <c r="E245" s="84" t="s">
        <v>943</v>
      </c>
      <c r="F245" s="54"/>
      <c r="G245" s="54"/>
      <c r="H245" s="54"/>
      <c r="I245" s="54"/>
      <c r="J245" s="54"/>
      <c r="K245" s="54"/>
      <c r="L245" s="54"/>
      <c r="M245" s="54"/>
      <c r="N245" s="54"/>
      <c r="O245" s="54"/>
      <c r="P245" s="54"/>
      <c r="R245" s="16"/>
    </row>
    <row r="246" spans="1:21" ht="15" customHeight="1" x14ac:dyDescent="0.25">
      <c r="B246" s="46" t="s">
        <v>1357</v>
      </c>
      <c r="D246" s="54"/>
      <c r="E246" s="84" t="s">
        <v>195</v>
      </c>
      <c r="F246" s="54"/>
      <c r="G246" s="54"/>
      <c r="H246" s="54"/>
      <c r="I246" s="54"/>
      <c r="J246" s="54"/>
      <c r="K246" s="54"/>
      <c r="L246" s="54"/>
      <c r="M246" s="54"/>
      <c r="N246" s="54"/>
      <c r="O246" s="54"/>
      <c r="P246" s="54"/>
      <c r="R246" s="16"/>
    </row>
    <row r="247" spans="1:21" ht="15" customHeight="1" x14ac:dyDescent="0.25">
      <c r="B247" s="46" t="s">
        <v>1358</v>
      </c>
      <c r="D247" s="54"/>
      <c r="E247" s="84" t="s">
        <v>944</v>
      </c>
      <c r="F247" s="54"/>
      <c r="G247" s="54"/>
      <c r="H247" s="54"/>
      <c r="I247" s="54"/>
      <c r="J247" s="54"/>
      <c r="K247" s="54"/>
      <c r="L247" s="54"/>
      <c r="M247" s="54"/>
      <c r="N247" s="54"/>
      <c r="O247" s="54"/>
      <c r="P247" s="54"/>
      <c r="R247" s="16"/>
    </row>
    <row r="248" spans="1:21" ht="15" customHeight="1" x14ac:dyDescent="0.25">
      <c r="B248" s="46" t="s">
        <v>1359</v>
      </c>
      <c r="D248" s="54"/>
      <c r="E248" s="84" t="s">
        <v>194</v>
      </c>
      <c r="F248" s="54"/>
      <c r="G248" s="54"/>
      <c r="H248" s="54"/>
      <c r="I248" s="54"/>
      <c r="J248" s="54"/>
      <c r="K248" s="54"/>
      <c r="L248" s="54"/>
      <c r="M248" s="54"/>
      <c r="N248" s="54"/>
      <c r="O248" s="54"/>
      <c r="P248" s="54"/>
      <c r="R248" s="16"/>
    </row>
    <row r="249" spans="1:21" ht="15" customHeight="1" x14ac:dyDescent="0.25">
      <c r="B249" s="46" t="s">
        <v>1360</v>
      </c>
      <c r="D249" s="54"/>
      <c r="E249" s="84" t="s">
        <v>193</v>
      </c>
      <c r="F249" s="54"/>
      <c r="G249" s="54"/>
      <c r="H249" s="54"/>
      <c r="I249" s="54"/>
      <c r="J249" s="54"/>
      <c r="K249" s="54"/>
      <c r="L249" s="54"/>
      <c r="M249" s="54"/>
      <c r="N249" s="54"/>
      <c r="O249" s="54"/>
      <c r="P249" s="54"/>
      <c r="R249" s="16"/>
    </row>
    <row r="250" spans="1:21" ht="15" customHeight="1" x14ac:dyDescent="0.25">
      <c r="B250" s="46" t="s">
        <v>1361</v>
      </c>
      <c r="D250" s="54"/>
      <c r="E250" s="84" t="s">
        <v>128</v>
      </c>
      <c r="F250" s="54"/>
      <c r="G250" s="54"/>
      <c r="H250" s="54"/>
      <c r="I250" s="54"/>
      <c r="J250" s="54"/>
      <c r="K250" s="54"/>
      <c r="L250" s="54"/>
      <c r="M250" s="54"/>
      <c r="N250" s="54"/>
      <c r="O250" s="54"/>
      <c r="P250" s="54"/>
      <c r="R250" s="16"/>
    </row>
    <row r="251" spans="1:21" ht="15" customHeight="1" x14ac:dyDescent="0.25">
      <c r="B251" s="53" t="s">
        <v>1369</v>
      </c>
      <c r="D251" s="54"/>
      <c r="E251" s="84"/>
      <c r="F251" s="54"/>
      <c r="G251" s="54"/>
      <c r="H251" s="54"/>
      <c r="I251" s="54"/>
      <c r="J251" s="54"/>
      <c r="K251" s="54"/>
      <c r="L251" s="54"/>
      <c r="M251" s="187" t="s">
        <v>305</v>
      </c>
      <c r="N251" s="187"/>
      <c r="O251" s="187"/>
      <c r="P251" s="187"/>
      <c r="R251" s="61"/>
    </row>
    <row r="252" spans="1:21" ht="15" customHeight="1" x14ac:dyDescent="0.25">
      <c r="D252" s="54"/>
      <c r="E252" s="54"/>
      <c r="F252" s="54"/>
      <c r="G252" s="54"/>
      <c r="H252" s="54"/>
      <c r="I252" s="54"/>
      <c r="J252" s="54"/>
      <c r="K252" s="54"/>
      <c r="L252" s="54"/>
      <c r="M252" s="54"/>
      <c r="N252" s="54"/>
      <c r="O252" s="54"/>
      <c r="P252" s="54"/>
      <c r="R252" s="54"/>
    </row>
    <row r="253" spans="1:21" s="15" customFormat="1" ht="20.25" customHeight="1" x14ac:dyDescent="0.25">
      <c r="B253" s="15" t="s">
        <v>171</v>
      </c>
      <c r="D253" s="184" t="s">
        <v>906</v>
      </c>
      <c r="E253" s="184"/>
      <c r="F253" s="184"/>
      <c r="G253" s="184"/>
      <c r="H253" s="184"/>
      <c r="I253" s="184"/>
      <c r="J253" s="184"/>
      <c r="K253" s="184"/>
      <c r="L253" s="184"/>
      <c r="M253" s="184"/>
      <c r="N253" s="184"/>
      <c r="O253" s="184"/>
      <c r="P253" s="54"/>
      <c r="R253" s="26"/>
      <c r="T253" s="154" t="str">
        <f>IF(AND(COUNTBLANK(R254:R259)=0,NOT(ISBLANK(R260))),"R",IF(AND($R$221="Yes",COUNTBLANK(R254:R259)&gt;0,ISBLANK(R260)),"R","G"))</f>
        <v>G</v>
      </c>
      <c r="U253" s="155"/>
    </row>
    <row r="254" spans="1:21" ht="15" customHeight="1" x14ac:dyDescent="0.25">
      <c r="B254" s="46" t="s">
        <v>1362</v>
      </c>
      <c r="D254" s="54"/>
      <c r="E254" s="84" t="s">
        <v>943</v>
      </c>
      <c r="F254" s="54"/>
      <c r="G254" s="54"/>
      <c r="H254" s="54"/>
      <c r="I254" s="54"/>
      <c r="J254" s="54"/>
      <c r="K254" s="54"/>
      <c r="L254" s="54"/>
      <c r="M254" s="54"/>
      <c r="N254" s="54"/>
      <c r="O254" s="54"/>
      <c r="P254" s="54"/>
      <c r="R254" s="16"/>
    </row>
    <row r="255" spans="1:21" ht="15" customHeight="1" x14ac:dyDescent="0.25">
      <c r="B255" s="46" t="s">
        <v>1363</v>
      </c>
      <c r="D255" s="54"/>
      <c r="E255" s="84" t="s">
        <v>195</v>
      </c>
      <c r="F255" s="54"/>
      <c r="G255" s="54"/>
      <c r="H255" s="54"/>
      <c r="I255" s="54"/>
      <c r="J255" s="54"/>
      <c r="K255" s="54"/>
      <c r="L255" s="54"/>
      <c r="M255" s="54"/>
      <c r="N255" s="54"/>
      <c r="O255" s="54"/>
      <c r="P255" s="54"/>
      <c r="R255" s="16"/>
    </row>
    <row r="256" spans="1:21" ht="15" customHeight="1" x14ac:dyDescent="0.25">
      <c r="B256" s="46" t="s">
        <v>1364</v>
      </c>
      <c r="D256" s="54"/>
      <c r="E256" s="84" t="s">
        <v>944</v>
      </c>
      <c r="F256" s="54"/>
      <c r="G256" s="54"/>
      <c r="H256" s="54"/>
      <c r="I256" s="54"/>
      <c r="J256" s="54"/>
      <c r="K256" s="54"/>
      <c r="L256" s="54"/>
      <c r="M256" s="54"/>
      <c r="N256" s="54"/>
      <c r="O256" s="54"/>
      <c r="P256" s="54"/>
      <c r="R256" s="16"/>
    </row>
    <row r="257" spans="1:20" ht="15" customHeight="1" x14ac:dyDescent="0.25">
      <c r="B257" s="46" t="s">
        <v>1365</v>
      </c>
      <c r="D257" s="54"/>
      <c r="E257" s="84" t="s">
        <v>194</v>
      </c>
      <c r="F257" s="54"/>
      <c r="G257" s="54"/>
      <c r="H257" s="54"/>
      <c r="I257" s="54"/>
      <c r="J257" s="54"/>
      <c r="K257" s="54"/>
      <c r="L257" s="54"/>
      <c r="M257" s="54"/>
      <c r="N257" s="54"/>
      <c r="O257" s="54"/>
      <c r="P257" s="54"/>
      <c r="R257" s="16"/>
    </row>
    <row r="258" spans="1:20" ht="15" customHeight="1" x14ac:dyDescent="0.25">
      <c r="B258" s="46" t="s">
        <v>1366</v>
      </c>
      <c r="D258" s="54"/>
      <c r="E258" s="84" t="s">
        <v>193</v>
      </c>
      <c r="F258" s="54"/>
      <c r="G258" s="54"/>
      <c r="H258" s="54"/>
      <c r="I258" s="54"/>
      <c r="J258" s="54"/>
      <c r="K258" s="54"/>
      <c r="L258" s="54"/>
      <c r="M258" s="54"/>
      <c r="N258" s="54"/>
      <c r="O258" s="54"/>
      <c r="P258" s="54"/>
      <c r="R258" s="16"/>
    </row>
    <row r="259" spans="1:20" ht="15" customHeight="1" x14ac:dyDescent="0.25">
      <c r="B259" s="46" t="s">
        <v>1367</v>
      </c>
      <c r="D259" s="54"/>
      <c r="E259" s="84" t="s">
        <v>128</v>
      </c>
      <c r="F259" s="54"/>
      <c r="G259" s="54"/>
      <c r="H259" s="54"/>
      <c r="I259" s="54"/>
      <c r="J259" s="54"/>
      <c r="K259" s="54"/>
      <c r="L259" s="54"/>
      <c r="M259" s="54"/>
      <c r="N259" s="54"/>
      <c r="O259" s="54"/>
      <c r="P259" s="54"/>
      <c r="R259" s="16"/>
    </row>
    <row r="260" spans="1:20" ht="15" customHeight="1" x14ac:dyDescent="0.25">
      <c r="B260" s="53" t="s">
        <v>1370</v>
      </c>
      <c r="D260" s="54"/>
      <c r="E260" s="84"/>
      <c r="F260" s="54"/>
      <c r="G260" s="54"/>
      <c r="H260" s="54"/>
      <c r="I260" s="54"/>
      <c r="J260" s="54"/>
      <c r="K260" s="54"/>
      <c r="L260" s="54"/>
      <c r="M260" s="54"/>
      <c r="N260" s="187" t="s">
        <v>305</v>
      </c>
      <c r="O260" s="187"/>
      <c r="P260" s="187"/>
      <c r="Q260" s="187"/>
      <c r="R260" s="61"/>
    </row>
    <row r="261" spans="1:20" ht="15" customHeight="1" x14ac:dyDescent="0.25">
      <c r="D261" s="54"/>
      <c r="E261" s="54"/>
      <c r="F261" s="54"/>
      <c r="G261" s="54"/>
      <c r="H261" s="54"/>
      <c r="I261" s="54"/>
      <c r="J261" s="54"/>
      <c r="K261" s="54"/>
      <c r="L261" s="54"/>
      <c r="M261" s="54"/>
      <c r="N261" s="54"/>
      <c r="O261" s="54"/>
      <c r="P261" s="54"/>
    </row>
    <row r="262" spans="1:20" ht="31.5" customHeight="1" x14ac:dyDescent="0.25">
      <c r="B262" s="15" t="s">
        <v>172</v>
      </c>
      <c r="D262" s="184" t="s">
        <v>907</v>
      </c>
      <c r="E262" s="184"/>
      <c r="F262" s="184"/>
      <c r="G262" s="184"/>
      <c r="H262" s="184"/>
      <c r="I262" s="184"/>
      <c r="J262" s="184"/>
      <c r="K262" s="184"/>
      <c r="L262" s="184"/>
      <c r="M262" s="184"/>
      <c r="N262" s="184"/>
      <c r="O262" s="184"/>
      <c r="P262" s="54"/>
      <c r="R262" s="67"/>
      <c r="T262" s="11" t="str">
        <f>IF(ISBLANK(R262),"R","G")</f>
        <v>R</v>
      </c>
    </row>
    <row r="263" spans="1:20" x14ac:dyDescent="0.25"/>
    <row r="264" spans="1:20" ht="41.25" customHeight="1" x14ac:dyDescent="0.25">
      <c r="B264" s="15" t="s">
        <v>173</v>
      </c>
      <c r="D264" s="197" t="s">
        <v>157</v>
      </c>
      <c r="E264" s="197"/>
      <c r="F264" s="197"/>
      <c r="G264" s="197"/>
      <c r="H264" s="197"/>
      <c r="I264" s="197"/>
      <c r="J264" s="197"/>
      <c r="K264" s="197"/>
      <c r="L264" s="197"/>
      <c r="M264" s="197"/>
      <c r="N264" s="197"/>
      <c r="O264" s="197"/>
      <c r="R264" s="16"/>
      <c r="T264" s="11" t="str">
        <f>IF(OR(AND(R262&gt;0,ISBLANK(R264)),AND(R262&lt;=0,NOT(ISBLANK(R264)))),"R","G")</f>
        <v>G</v>
      </c>
    </row>
    <row r="265" spans="1:20" x14ac:dyDescent="0.25"/>
    <row r="266" spans="1:20" ht="30.75" customHeight="1" x14ac:dyDescent="0.25">
      <c r="B266" s="15" t="s">
        <v>174</v>
      </c>
      <c r="D266" s="184" t="s">
        <v>908</v>
      </c>
      <c r="E266" s="184"/>
      <c r="F266" s="184"/>
      <c r="G266" s="184"/>
      <c r="H266" s="184"/>
      <c r="I266" s="184"/>
      <c r="J266" s="184"/>
      <c r="K266" s="184"/>
      <c r="L266" s="184"/>
      <c r="M266" s="184"/>
      <c r="N266" s="184"/>
      <c r="O266" s="184"/>
      <c r="P266" s="54"/>
      <c r="R266" s="67"/>
      <c r="T266" s="11" t="str">
        <f>IF(OR(R266&lt;0,ISBLANK(R266)),"R","G")</f>
        <v>R</v>
      </c>
    </row>
    <row r="267" spans="1:20" x14ac:dyDescent="0.25"/>
    <row r="268" spans="1:20" ht="7.35" customHeight="1" x14ac:dyDescent="0.25">
      <c r="B268" s="71"/>
      <c r="C268" s="71"/>
      <c r="D268" s="15"/>
      <c r="E268" s="15"/>
      <c r="F268" s="15"/>
      <c r="G268" s="15"/>
      <c r="H268" s="15"/>
      <c r="I268" s="15"/>
      <c r="J268" s="15"/>
      <c r="K268" s="15"/>
      <c r="L268" s="15"/>
      <c r="M268" s="72"/>
      <c r="N268" s="72"/>
      <c r="O268" s="72"/>
      <c r="P268" s="72"/>
      <c r="Q268" s="73"/>
      <c r="R268" s="74"/>
    </row>
    <row r="269" spans="1:20" ht="7.15" customHeight="1" x14ac:dyDescent="0.25">
      <c r="A269" s="75"/>
      <c r="B269" s="76"/>
      <c r="C269" s="76"/>
      <c r="D269" s="77"/>
      <c r="E269" s="77"/>
      <c r="F269" s="77"/>
      <c r="G269" s="77"/>
      <c r="H269" s="77"/>
      <c r="I269" s="77"/>
      <c r="J269" s="77"/>
      <c r="K269" s="77"/>
      <c r="L269" s="77"/>
      <c r="M269" s="77"/>
      <c r="N269" s="77"/>
      <c r="O269" s="77"/>
      <c r="P269" s="77"/>
      <c r="Q269" s="75"/>
      <c r="R269" s="78"/>
      <c r="S269" s="75"/>
      <c r="T269" s="12"/>
    </row>
    <row r="270" spans="1:20" ht="7.35" customHeight="1" x14ac:dyDescent="0.25">
      <c r="B270" s="71"/>
      <c r="C270" s="71"/>
      <c r="D270" s="15"/>
      <c r="E270" s="15"/>
      <c r="F270" s="15"/>
      <c r="G270" s="15"/>
      <c r="H270" s="15"/>
      <c r="I270" s="15"/>
      <c r="J270" s="15"/>
      <c r="K270" s="15"/>
      <c r="L270" s="15"/>
      <c r="M270" s="15"/>
      <c r="N270" s="15"/>
      <c r="O270" s="15"/>
      <c r="P270" s="15"/>
      <c r="R270" s="74"/>
    </row>
    <row r="271" spans="1:20" ht="19.5" thickBot="1" x14ac:dyDescent="0.3">
      <c r="A271" s="37"/>
      <c r="B271" s="38" t="s">
        <v>188</v>
      </c>
      <c r="C271" s="38"/>
      <c r="D271" s="39" t="s">
        <v>189</v>
      </c>
      <c r="E271" s="40"/>
      <c r="F271" s="40"/>
      <c r="G271" s="40"/>
      <c r="H271" s="40"/>
      <c r="I271" s="40"/>
      <c r="J271" s="40"/>
      <c r="K271" s="40"/>
      <c r="L271" s="40"/>
      <c r="M271" s="40"/>
      <c r="N271" s="40"/>
      <c r="O271" s="40"/>
      <c r="P271" s="40"/>
      <c r="Q271" s="37"/>
      <c r="R271" s="42"/>
      <c r="S271" s="37"/>
    </row>
    <row r="272" spans="1:20" x14ac:dyDescent="0.25"/>
    <row r="273" spans="2:21" ht="38.25" customHeight="1" x14ac:dyDescent="0.25">
      <c r="D273" s="184" t="s">
        <v>190</v>
      </c>
      <c r="E273" s="184"/>
      <c r="F273" s="184"/>
      <c r="G273" s="184"/>
      <c r="H273" s="184"/>
      <c r="I273" s="184"/>
      <c r="J273" s="184"/>
      <c r="K273" s="184"/>
      <c r="L273" s="184"/>
      <c r="M273" s="184"/>
      <c r="N273" s="184"/>
      <c r="O273" s="184"/>
      <c r="P273" s="54"/>
    </row>
    <row r="274" spans="2:21" s="15" customFormat="1" ht="18.75" customHeight="1" x14ac:dyDescent="0.25">
      <c r="B274" s="15" t="s">
        <v>196</v>
      </c>
      <c r="D274" s="184" t="s">
        <v>191</v>
      </c>
      <c r="E274" s="184"/>
      <c r="F274" s="184"/>
      <c r="G274" s="184"/>
      <c r="H274" s="184"/>
      <c r="I274" s="184"/>
      <c r="J274" s="184"/>
      <c r="K274" s="184"/>
      <c r="L274" s="184"/>
      <c r="M274" s="184"/>
      <c r="N274" s="184"/>
      <c r="O274" s="184"/>
      <c r="P274" s="54"/>
      <c r="T274" s="154" t="str">
        <f>IF(COUNTBLANK(R275:R280)&gt;0, "R", "G")</f>
        <v>R</v>
      </c>
      <c r="U274" s="155"/>
    </row>
    <row r="275" spans="2:21" x14ac:dyDescent="0.25">
      <c r="B275" s="46" t="s">
        <v>1375</v>
      </c>
      <c r="D275" s="54"/>
      <c r="E275" s="84" t="s">
        <v>943</v>
      </c>
      <c r="F275" s="54"/>
      <c r="G275" s="54"/>
      <c r="H275" s="54"/>
      <c r="I275" s="54"/>
      <c r="J275" s="54"/>
      <c r="K275" s="54"/>
      <c r="L275" s="54"/>
      <c r="M275" s="54"/>
      <c r="N275" s="54"/>
      <c r="O275" s="54"/>
      <c r="P275" s="54"/>
      <c r="R275" s="16"/>
      <c r="T275" s="15"/>
    </row>
    <row r="276" spans="2:21" x14ac:dyDescent="0.25">
      <c r="B276" s="46" t="s">
        <v>1376</v>
      </c>
      <c r="D276" s="54"/>
      <c r="E276" s="84" t="s">
        <v>195</v>
      </c>
      <c r="F276" s="54"/>
      <c r="G276" s="54"/>
      <c r="H276" s="54"/>
      <c r="I276" s="54"/>
      <c r="J276" s="54"/>
      <c r="K276" s="54"/>
      <c r="L276" s="54"/>
      <c r="M276" s="54"/>
      <c r="N276" s="54"/>
      <c r="O276" s="54"/>
      <c r="P276" s="54"/>
      <c r="R276" s="16"/>
      <c r="T276" s="15"/>
    </row>
    <row r="277" spans="2:21" x14ac:dyDescent="0.25">
      <c r="B277" s="46" t="s">
        <v>1377</v>
      </c>
      <c r="D277" s="54"/>
      <c r="E277" s="84" t="s">
        <v>944</v>
      </c>
      <c r="F277" s="54"/>
      <c r="G277" s="54"/>
      <c r="H277" s="54"/>
      <c r="I277" s="54"/>
      <c r="J277" s="54"/>
      <c r="K277" s="54"/>
      <c r="L277" s="54"/>
      <c r="M277" s="54"/>
      <c r="N277" s="54"/>
      <c r="O277" s="54"/>
      <c r="P277" s="54"/>
      <c r="R277" s="16"/>
      <c r="T277" s="15"/>
    </row>
    <row r="278" spans="2:21" x14ac:dyDescent="0.25">
      <c r="B278" s="46" t="s">
        <v>1378</v>
      </c>
      <c r="D278" s="54"/>
      <c r="E278" s="84" t="s">
        <v>194</v>
      </c>
      <c r="F278" s="54"/>
      <c r="G278" s="54"/>
      <c r="H278" s="54"/>
      <c r="I278" s="54"/>
      <c r="J278" s="54"/>
      <c r="K278" s="54"/>
      <c r="L278" s="54"/>
      <c r="M278" s="54"/>
      <c r="N278" s="54"/>
      <c r="O278" s="54"/>
      <c r="P278" s="54"/>
      <c r="R278" s="16"/>
      <c r="T278" s="15"/>
    </row>
    <row r="279" spans="2:21" x14ac:dyDescent="0.25">
      <c r="B279" s="46" t="s">
        <v>1379</v>
      </c>
      <c r="D279" s="54"/>
      <c r="E279" s="84" t="s">
        <v>193</v>
      </c>
      <c r="F279" s="54"/>
      <c r="G279" s="54"/>
      <c r="H279" s="54"/>
      <c r="I279" s="54"/>
      <c r="J279" s="54"/>
      <c r="K279" s="54"/>
      <c r="L279" s="54"/>
      <c r="M279" s="54"/>
      <c r="N279" s="54"/>
      <c r="O279" s="54"/>
      <c r="P279" s="54"/>
      <c r="R279" s="16"/>
      <c r="T279" s="15"/>
    </row>
    <row r="280" spans="2:21" x14ac:dyDescent="0.25">
      <c r="B280" s="46" t="s">
        <v>1380</v>
      </c>
      <c r="D280" s="54"/>
      <c r="E280" s="84" t="s">
        <v>128</v>
      </c>
      <c r="F280" s="54"/>
      <c r="G280" s="54"/>
      <c r="H280" s="54"/>
      <c r="I280" s="54"/>
      <c r="J280" s="54"/>
      <c r="K280" s="54"/>
      <c r="L280" s="54"/>
      <c r="M280" s="54"/>
      <c r="N280" s="54"/>
      <c r="O280" s="54"/>
      <c r="P280" s="54"/>
      <c r="R280" s="16"/>
      <c r="T280" s="15"/>
    </row>
    <row r="281" spans="2:21" x14ac:dyDescent="0.25">
      <c r="D281" s="15"/>
      <c r="E281" s="15"/>
      <c r="F281" s="15"/>
      <c r="G281" s="15"/>
      <c r="H281" s="15"/>
      <c r="I281" s="15"/>
      <c r="J281" s="15"/>
      <c r="K281" s="15"/>
      <c r="L281" s="15"/>
      <c r="M281" s="15"/>
      <c r="N281" s="15"/>
      <c r="O281" s="15"/>
      <c r="P281" s="15"/>
      <c r="Q281" s="15"/>
      <c r="R281" s="15"/>
      <c r="S281" s="15"/>
      <c r="T281" s="15"/>
    </row>
    <row r="282" spans="2:21" s="15" customFormat="1" ht="18.75" customHeight="1" x14ac:dyDescent="0.25">
      <c r="B282" s="15" t="s">
        <v>197</v>
      </c>
      <c r="D282" s="184" t="s">
        <v>156</v>
      </c>
      <c r="E282" s="184"/>
      <c r="F282" s="184"/>
      <c r="G282" s="184"/>
      <c r="H282" s="184"/>
      <c r="I282" s="184"/>
      <c r="J282" s="184"/>
      <c r="K282" s="184"/>
      <c r="L282" s="184"/>
      <c r="M282" s="184"/>
      <c r="N282" s="184"/>
      <c r="O282" s="184"/>
      <c r="P282" s="54"/>
      <c r="T282" s="154" t="str">
        <f>IF(COUNTBLANK(R283:R288)&gt;0, "R", "G")</f>
        <v>R</v>
      </c>
      <c r="U282" s="155"/>
    </row>
    <row r="283" spans="2:21" x14ac:dyDescent="0.25">
      <c r="B283" s="46" t="s">
        <v>1375</v>
      </c>
      <c r="D283" s="54"/>
      <c r="E283" s="84" t="s">
        <v>943</v>
      </c>
      <c r="F283" s="54"/>
      <c r="G283" s="54"/>
      <c r="H283" s="54"/>
      <c r="I283" s="54"/>
      <c r="J283" s="54"/>
      <c r="K283" s="54"/>
      <c r="L283" s="54"/>
      <c r="M283" s="54"/>
      <c r="N283" s="54"/>
      <c r="O283" s="54"/>
      <c r="P283" s="54"/>
      <c r="R283" s="16"/>
      <c r="T283" s="15"/>
    </row>
    <row r="284" spans="2:21" x14ac:dyDescent="0.25">
      <c r="B284" s="46" t="s">
        <v>1376</v>
      </c>
      <c r="D284" s="54"/>
      <c r="E284" s="84" t="s">
        <v>195</v>
      </c>
      <c r="F284" s="54"/>
      <c r="G284" s="54"/>
      <c r="H284" s="54"/>
      <c r="I284" s="54"/>
      <c r="J284" s="54"/>
      <c r="K284" s="54"/>
      <c r="L284" s="54"/>
      <c r="M284" s="54"/>
      <c r="N284" s="54"/>
      <c r="O284" s="54"/>
      <c r="P284" s="54"/>
      <c r="R284" s="16"/>
      <c r="T284" s="15"/>
    </row>
    <row r="285" spans="2:21" x14ac:dyDescent="0.25">
      <c r="B285" s="46" t="s">
        <v>1377</v>
      </c>
      <c r="D285" s="54"/>
      <c r="E285" s="84" t="s">
        <v>944</v>
      </c>
      <c r="F285" s="54"/>
      <c r="G285" s="54"/>
      <c r="H285" s="54"/>
      <c r="I285" s="54"/>
      <c r="J285" s="54"/>
      <c r="K285" s="54"/>
      <c r="L285" s="54"/>
      <c r="M285" s="54"/>
      <c r="N285" s="54"/>
      <c r="O285" s="54"/>
      <c r="P285" s="54"/>
      <c r="R285" s="16"/>
      <c r="T285" s="15"/>
    </row>
    <row r="286" spans="2:21" x14ac:dyDescent="0.25">
      <c r="B286" s="46" t="s">
        <v>1378</v>
      </c>
      <c r="D286" s="54"/>
      <c r="E286" s="84" t="s">
        <v>194</v>
      </c>
      <c r="F286" s="54"/>
      <c r="G286" s="54"/>
      <c r="H286" s="54"/>
      <c r="I286" s="54"/>
      <c r="J286" s="54"/>
      <c r="K286" s="54"/>
      <c r="L286" s="54"/>
      <c r="M286" s="54"/>
      <c r="N286" s="54"/>
      <c r="O286" s="54"/>
      <c r="P286" s="54"/>
      <c r="R286" s="16"/>
      <c r="T286" s="15"/>
    </row>
    <row r="287" spans="2:21" x14ac:dyDescent="0.25">
      <c r="B287" s="46" t="s">
        <v>1379</v>
      </c>
      <c r="D287" s="54"/>
      <c r="E287" s="84" t="s">
        <v>193</v>
      </c>
      <c r="F287" s="54"/>
      <c r="G287" s="54"/>
      <c r="H287" s="54"/>
      <c r="I287" s="54"/>
      <c r="J287" s="54"/>
      <c r="K287" s="54"/>
      <c r="L287" s="54"/>
      <c r="M287" s="54"/>
      <c r="N287" s="54"/>
      <c r="O287" s="54"/>
      <c r="P287" s="54"/>
      <c r="R287" s="16"/>
      <c r="T287" s="15"/>
    </row>
    <row r="288" spans="2:21" x14ac:dyDescent="0.25">
      <c r="B288" s="46" t="s">
        <v>1380</v>
      </c>
      <c r="D288" s="54"/>
      <c r="E288" s="84" t="s">
        <v>128</v>
      </c>
      <c r="F288" s="54"/>
      <c r="G288" s="54"/>
      <c r="H288" s="54"/>
      <c r="I288" s="54"/>
      <c r="J288" s="54"/>
      <c r="K288" s="54"/>
      <c r="L288" s="54"/>
      <c r="M288" s="54"/>
      <c r="N288" s="54"/>
      <c r="O288" s="54"/>
      <c r="P288" s="54"/>
      <c r="R288" s="16"/>
      <c r="T288" s="15"/>
    </row>
    <row r="289" spans="2:21" x14ac:dyDescent="0.25">
      <c r="D289" s="15"/>
      <c r="E289" s="15"/>
      <c r="F289" s="15"/>
      <c r="G289" s="15"/>
      <c r="H289" s="15"/>
      <c r="I289" s="15"/>
      <c r="J289" s="15"/>
      <c r="K289" s="15"/>
      <c r="L289" s="15"/>
      <c r="M289" s="15"/>
      <c r="N289" s="15"/>
      <c r="O289" s="15"/>
      <c r="P289" s="15"/>
      <c r="Q289" s="15"/>
      <c r="R289" s="15"/>
      <c r="S289" s="15"/>
      <c r="T289" s="15"/>
    </row>
    <row r="290" spans="2:21" s="15" customFormat="1" ht="18.75" customHeight="1" x14ac:dyDescent="0.25">
      <c r="B290" s="15" t="s">
        <v>198</v>
      </c>
      <c r="D290" s="184" t="s">
        <v>192</v>
      </c>
      <c r="E290" s="184"/>
      <c r="F290" s="184"/>
      <c r="G290" s="184"/>
      <c r="H290" s="184"/>
      <c r="I290" s="184"/>
      <c r="J290" s="184"/>
      <c r="K290" s="184"/>
      <c r="L290" s="184"/>
      <c r="M290" s="184"/>
      <c r="N290" s="184"/>
      <c r="O290" s="184"/>
      <c r="P290" s="54"/>
      <c r="T290" s="154" t="str" cm="1">
        <f t="array" ref="T290:T295">IF(ISBLANK(R291:R296),"R","G")</f>
        <v>R</v>
      </c>
      <c r="U290" s="155"/>
    </row>
    <row r="291" spans="2:21" x14ac:dyDescent="0.25">
      <c r="B291" s="46" t="s">
        <v>1375</v>
      </c>
      <c r="D291" s="54"/>
      <c r="E291" s="84" t="s">
        <v>943</v>
      </c>
      <c r="F291" s="54"/>
      <c r="G291" s="54"/>
      <c r="H291" s="54"/>
      <c r="I291" s="54"/>
      <c r="J291" s="54"/>
      <c r="K291" s="54"/>
      <c r="L291" s="54"/>
      <c r="M291" s="54"/>
      <c r="N291" s="54"/>
      <c r="O291" s="54"/>
      <c r="P291" s="54"/>
      <c r="R291" s="16"/>
      <c r="T291" s="165" t="str">
        <v>R</v>
      </c>
    </row>
    <row r="292" spans="2:21" x14ac:dyDescent="0.25">
      <c r="B292" s="46" t="s">
        <v>1376</v>
      </c>
      <c r="D292" s="54"/>
      <c r="E292" s="84" t="s">
        <v>195</v>
      </c>
      <c r="F292" s="54"/>
      <c r="G292" s="54"/>
      <c r="H292" s="54"/>
      <c r="I292" s="54"/>
      <c r="J292" s="54"/>
      <c r="K292" s="54"/>
      <c r="L292" s="54"/>
      <c r="M292" s="54"/>
      <c r="N292" s="54"/>
      <c r="O292" s="54"/>
      <c r="P292" s="54"/>
      <c r="R292" s="16"/>
      <c r="T292" s="165" t="str">
        <v>R</v>
      </c>
    </row>
    <row r="293" spans="2:21" x14ac:dyDescent="0.25">
      <c r="B293" s="46" t="s">
        <v>1377</v>
      </c>
      <c r="D293" s="54"/>
      <c r="E293" s="84" t="s">
        <v>944</v>
      </c>
      <c r="F293" s="54"/>
      <c r="G293" s="54"/>
      <c r="H293" s="54"/>
      <c r="I293" s="54"/>
      <c r="J293" s="54"/>
      <c r="K293" s="54"/>
      <c r="L293" s="54"/>
      <c r="M293" s="54"/>
      <c r="N293" s="54"/>
      <c r="O293" s="54"/>
      <c r="P293" s="54"/>
      <c r="R293" s="16"/>
      <c r="T293" s="165" t="str">
        <v>R</v>
      </c>
    </row>
    <row r="294" spans="2:21" x14ac:dyDescent="0.25">
      <c r="B294" s="46" t="s">
        <v>1378</v>
      </c>
      <c r="D294" s="54"/>
      <c r="E294" s="84" t="s">
        <v>194</v>
      </c>
      <c r="F294" s="54"/>
      <c r="G294" s="54"/>
      <c r="H294" s="54"/>
      <c r="I294" s="54"/>
      <c r="J294" s="54"/>
      <c r="K294" s="54"/>
      <c r="L294" s="54"/>
      <c r="M294" s="54"/>
      <c r="N294" s="54"/>
      <c r="O294" s="54"/>
      <c r="P294" s="54"/>
      <c r="R294" s="16"/>
      <c r="T294" s="165" t="str">
        <v>R</v>
      </c>
    </row>
    <row r="295" spans="2:21" x14ac:dyDescent="0.25">
      <c r="B295" s="46" t="s">
        <v>1379</v>
      </c>
      <c r="D295" s="54"/>
      <c r="E295" s="84" t="s">
        <v>193</v>
      </c>
      <c r="F295" s="54"/>
      <c r="G295" s="54"/>
      <c r="H295" s="54"/>
      <c r="I295" s="54"/>
      <c r="J295" s="54"/>
      <c r="K295" s="54"/>
      <c r="L295" s="54"/>
      <c r="M295" s="54"/>
      <c r="N295" s="54"/>
      <c r="O295" s="54"/>
      <c r="P295" s="54"/>
      <c r="R295" s="16"/>
      <c r="T295" s="165" t="str">
        <v>R</v>
      </c>
    </row>
    <row r="296" spans="2:21" x14ac:dyDescent="0.25">
      <c r="B296" s="46" t="s">
        <v>1380</v>
      </c>
      <c r="D296" s="54"/>
      <c r="E296" s="84" t="s">
        <v>128</v>
      </c>
      <c r="F296" s="54"/>
      <c r="G296" s="54"/>
      <c r="H296" s="54"/>
      <c r="I296" s="54"/>
      <c r="J296" s="54"/>
      <c r="K296" s="54"/>
      <c r="L296" s="54"/>
      <c r="M296" s="54"/>
      <c r="N296" s="54"/>
      <c r="O296" s="54"/>
      <c r="P296" s="54"/>
      <c r="R296" s="16"/>
      <c r="T296" s="165"/>
    </row>
    <row r="297" spans="2:21" x14ac:dyDescent="0.25"/>
    <row r="298" spans="2:21" x14ac:dyDescent="0.25">
      <c r="B298" s="15" t="s">
        <v>201</v>
      </c>
      <c r="D298" s="184" t="s">
        <v>199</v>
      </c>
      <c r="E298" s="184"/>
      <c r="F298" s="184"/>
      <c r="G298" s="184"/>
      <c r="H298" s="184"/>
      <c r="I298" s="184"/>
      <c r="J298" s="184"/>
      <c r="K298" s="184"/>
      <c r="L298" s="184"/>
      <c r="M298" s="184"/>
      <c r="N298" s="184"/>
      <c r="O298" s="184"/>
      <c r="P298" s="54"/>
      <c r="T298" s="11" t="str" cm="1">
        <f t="array" ref="T298">IF(AND(R299="Yes",OR(R300:R302&lt;&gt;"No")),"R",IF(OR(OR(ISBLANK(R299:R302)),AND(R299:R302="No")),"R","G"))</f>
        <v>R</v>
      </c>
    </row>
    <row r="299" spans="2:21" x14ac:dyDescent="0.25">
      <c r="B299" s="46" t="s">
        <v>945</v>
      </c>
      <c r="C299" s="46"/>
      <c r="D299" s="84"/>
      <c r="E299" s="84" t="s">
        <v>119</v>
      </c>
      <c r="F299" s="54"/>
      <c r="G299" s="54"/>
      <c r="H299" s="54"/>
      <c r="I299" s="54"/>
      <c r="J299" s="54"/>
      <c r="K299" s="54"/>
      <c r="L299" s="54"/>
      <c r="M299" s="54"/>
      <c r="N299" s="54"/>
      <c r="O299" s="54"/>
      <c r="P299" s="54"/>
      <c r="R299" s="16"/>
    </row>
    <row r="300" spans="2:21" x14ac:dyDescent="0.25">
      <c r="B300" s="46" t="s">
        <v>946</v>
      </c>
      <c r="C300" s="46"/>
      <c r="D300" s="84"/>
      <c r="E300" s="84" t="s">
        <v>1221</v>
      </c>
      <c r="F300" s="54"/>
      <c r="G300" s="54"/>
      <c r="H300" s="54"/>
      <c r="I300" s="54"/>
      <c r="J300" s="54"/>
      <c r="K300" s="54"/>
      <c r="L300" s="54"/>
      <c r="M300" s="54"/>
      <c r="N300" s="54"/>
      <c r="O300" s="54"/>
      <c r="P300" s="54"/>
      <c r="R300" s="16"/>
    </row>
    <row r="301" spans="2:21" x14ac:dyDescent="0.25">
      <c r="B301" s="46" t="s">
        <v>947</v>
      </c>
      <c r="C301" s="46"/>
      <c r="D301" s="84"/>
      <c r="E301" s="84" t="s">
        <v>202</v>
      </c>
      <c r="F301" s="54"/>
      <c r="G301" s="54"/>
      <c r="H301" s="54"/>
      <c r="I301" s="54"/>
      <c r="J301" s="54"/>
      <c r="K301" s="54"/>
      <c r="L301" s="54"/>
      <c r="M301" s="54"/>
      <c r="N301" s="54"/>
      <c r="O301" s="54"/>
      <c r="P301" s="54"/>
      <c r="R301" s="16"/>
    </row>
    <row r="302" spans="2:21" x14ac:dyDescent="0.25">
      <c r="B302" s="46" t="s">
        <v>948</v>
      </c>
      <c r="C302" s="46"/>
      <c r="D302" s="84"/>
      <c r="E302" s="84" t="s">
        <v>1250</v>
      </c>
      <c r="F302" s="54"/>
      <c r="G302" s="54"/>
      <c r="H302" s="54"/>
      <c r="I302" s="54"/>
      <c r="J302" s="54"/>
      <c r="K302" s="54"/>
      <c r="L302" s="54"/>
      <c r="M302" s="54"/>
      <c r="N302" s="54"/>
      <c r="O302" s="54"/>
      <c r="P302" s="54"/>
      <c r="R302" s="16"/>
    </row>
    <row r="303" spans="2:21" x14ac:dyDescent="0.25">
      <c r="D303" s="54"/>
      <c r="E303" s="54"/>
      <c r="F303" s="54"/>
      <c r="G303" s="54"/>
      <c r="H303" s="54"/>
      <c r="I303" s="54"/>
      <c r="J303" s="54"/>
      <c r="K303" s="54"/>
      <c r="L303" s="54"/>
      <c r="M303" s="54"/>
      <c r="N303" s="54"/>
      <c r="O303" s="54"/>
      <c r="P303" s="54"/>
    </row>
    <row r="304" spans="2:21" ht="30.75" customHeight="1" x14ac:dyDescent="0.25">
      <c r="B304" s="15" t="s">
        <v>200</v>
      </c>
      <c r="D304" s="184" t="s">
        <v>909</v>
      </c>
      <c r="E304" s="184"/>
      <c r="F304" s="184"/>
      <c r="G304" s="184"/>
      <c r="H304" s="184"/>
      <c r="I304" s="184"/>
      <c r="J304" s="184"/>
      <c r="K304" s="184"/>
      <c r="L304" s="184"/>
      <c r="M304" s="184"/>
      <c r="N304" s="184"/>
      <c r="O304" s="184"/>
      <c r="P304" s="54"/>
      <c r="R304" s="67"/>
      <c r="T304" s="11" t="str">
        <f>IF(OR(R304&lt;0,ISBLANK(R304)),"R","G")</f>
        <v>R</v>
      </c>
    </row>
    <row r="305" spans="1:21" x14ac:dyDescent="0.25"/>
    <row r="306" spans="1:21" ht="7.35" customHeight="1" x14ac:dyDescent="0.25">
      <c r="B306" s="71"/>
      <c r="C306" s="71"/>
      <c r="D306" s="15"/>
      <c r="E306" s="15"/>
      <c r="F306" s="15"/>
      <c r="G306" s="15"/>
      <c r="H306" s="15"/>
      <c r="I306" s="15"/>
      <c r="J306" s="15"/>
      <c r="K306" s="15"/>
      <c r="L306" s="15"/>
      <c r="M306" s="72"/>
      <c r="N306" s="72"/>
      <c r="O306" s="72"/>
      <c r="P306" s="72"/>
      <c r="Q306" s="73"/>
      <c r="R306" s="74"/>
    </row>
    <row r="307" spans="1:21" ht="7.15" customHeight="1" x14ac:dyDescent="0.25">
      <c r="A307" s="75"/>
      <c r="B307" s="76"/>
      <c r="C307" s="76"/>
      <c r="D307" s="77"/>
      <c r="E307" s="77"/>
      <c r="F307" s="77"/>
      <c r="G307" s="77"/>
      <c r="H307" s="77"/>
      <c r="I307" s="77"/>
      <c r="J307" s="77"/>
      <c r="K307" s="77"/>
      <c r="L307" s="77"/>
      <c r="M307" s="77"/>
      <c r="N307" s="77"/>
      <c r="O307" s="77"/>
      <c r="P307" s="77"/>
      <c r="Q307" s="75"/>
      <c r="R307" s="78"/>
      <c r="S307" s="75"/>
      <c r="T307" s="12"/>
    </row>
    <row r="308" spans="1:21" ht="7.35" customHeight="1" x14ac:dyDescent="0.25">
      <c r="B308" s="71"/>
      <c r="C308" s="71"/>
      <c r="D308" s="15"/>
      <c r="E308" s="15"/>
      <c r="F308" s="15"/>
      <c r="G308" s="15"/>
      <c r="H308" s="15"/>
      <c r="I308" s="15"/>
      <c r="J308" s="15"/>
      <c r="K308" s="15"/>
      <c r="L308" s="15"/>
      <c r="M308" s="15"/>
      <c r="N308" s="15"/>
      <c r="O308" s="15"/>
      <c r="P308" s="15"/>
      <c r="R308" s="74"/>
    </row>
    <row r="309" spans="1:21" ht="19.5" thickBot="1" x14ac:dyDescent="0.3">
      <c r="A309" s="37"/>
      <c r="B309" s="38" t="s">
        <v>203</v>
      </c>
      <c r="C309" s="38"/>
      <c r="D309" s="39" t="s">
        <v>949</v>
      </c>
      <c r="E309" s="40"/>
      <c r="F309" s="40"/>
      <c r="G309" s="40"/>
      <c r="H309" s="40"/>
      <c r="I309" s="40"/>
      <c r="J309" s="40"/>
      <c r="K309" s="40"/>
      <c r="L309" s="40"/>
      <c r="M309" s="40"/>
      <c r="N309" s="40"/>
      <c r="O309" s="40"/>
      <c r="P309" s="40"/>
      <c r="Q309" s="37"/>
      <c r="R309" s="42"/>
      <c r="S309" s="37"/>
    </row>
    <row r="310" spans="1:21" x14ac:dyDescent="0.25"/>
    <row r="311" spans="1:21" s="52" customFormat="1" ht="30.75" customHeight="1" x14ac:dyDescent="0.25">
      <c r="B311" s="44" t="s">
        <v>213</v>
      </c>
      <c r="C311" s="44"/>
      <c r="D311" s="184" t="s">
        <v>910</v>
      </c>
      <c r="E311" s="184"/>
      <c r="F311" s="184"/>
      <c r="G311" s="184"/>
      <c r="H311" s="184"/>
      <c r="I311" s="184"/>
      <c r="J311" s="184"/>
      <c r="K311" s="184"/>
      <c r="L311" s="184"/>
      <c r="M311" s="184"/>
      <c r="N311" s="184"/>
      <c r="O311" s="184"/>
      <c r="P311" s="54"/>
      <c r="R311" s="16"/>
      <c r="T311" s="11" t="str">
        <f>IF(ISBLANK(R311),"R","G")</f>
        <v>R</v>
      </c>
      <c r="U311" s="122"/>
    </row>
    <row r="312" spans="1:21" s="52" customFormat="1" x14ac:dyDescent="0.25">
      <c r="B312" s="44"/>
      <c r="C312" s="44"/>
      <c r="D312" s="54"/>
      <c r="E312" s="54"/>
      <c r="F312" s="54"/>
      <c r="G312" s="54"/>
      <c r="H312" s="54"/>
      <c r="I312" s="54"/>
      <c r="T312" s="11"/>
      <c r="U312" s="122"/>
    </row>
    <row r="313" spans="1:21" s="52" customFormat="1" ht="30.75" customHeight="1" x14ac:dyDescent="0.25">
      <c r="B313" s="44" t="s">
        <v>214</v>
      </c>
      <c r="C313" s="44"/>
      <c r="D313" s="184" t="s">
        <v>204</v>
      </c>
      <c r="E313" s="184"/>
      <c r="F313" s="184"/>
      <c r="G313" s="184"/>
      <c r="H313" s="184"/>
      <c r="I313" s="184"/>
      <c r="J313" s="184"/>
      <c r="K313" s="184"/>
      <c r="L313" s="184"/>
      <c r="M313" s="184"/>
      <c r="N313" s="184"/>
      <c r="O313" s="184"/>
      <c r="P313" s="54"/>
      <c r="R313" s="67"/>
      <c r="T313" s="11" t="str">
        <f>IF(OR(AND(OR($R$311="Yes, pre-transaction",$R$311="Yes, post-transaction",$R$311="Yes, both pre-transaction and post-transaction"),ISBLANK(R313)),AND(AND($R$311&lt;&gt;"Yes, pre-transaction",$R$311&lt;&gt;"Yes, post-transaction", $R$311&lt;&gt;"Yes, both pre-transaction and post-transaction"),NOT(ISBLANK(R313)))),"R","G")</f>
        <v>G</v>
      </c>
      <c r="U313" s="122"/>
    </row>
    <row r="314" spans="1:21" s="52" customFormat="1" x14ac:dyDescent="0.25">
      <c r="B314" s="44"/>
      <c r="C314" s="44"/>
      <c r="D314" s="54"/>
      <c r="E314" s="54"/>
      <c r="F314" s="54"/>
      <c r="G314" s="54"/>
      <c r="H314" s="54"/>
      <c r="I314" s="54"/>
      <c r="J314" s="54"/>
      <c r="K314" s="54"/>
      <c r="L314" s="54"/>
      <c r="M314" s="54"/>
      <c r="N314" s="54"/>
      <c r="O314" s="54"/>
      <c r="P314" s="54"/>
      <c r="R314" s="26"/>
      <c r="U314" s="122"/>
    </row>
    <row r="315" spans="1:21" s="52" customFormat="1" x14ac:dyDescent="0.25">
      <c r="B315" s="44" t="s">
        <v>215</v>
      </c>
      <c r="C315" s="44"/>
      <c r="D315" s="184" t="s">
        <v>205</v>
      </c>
      <c r="E315" s="184"/>
      <c r="F315" s="184"/>
      <c r="G315" s="184"/>
      <c r="H315" s="184"/>
      <c r="I315" s="184"/>
      <c r="J315" s="184"/>
      <c r="K315" s="184"/>
      <c r="L315" s="184"/>
      <c r="M315" s="184"/>
      <c r="N315" s="184"/>
      <c r="O315" s="184"/>
      <c r="P315" s="54"/>
      <c r="R315" s="67"/>
      <c r="T315" s="11" t="str">
        <f>IF(OR(AND(OR(R315&lt;0,ISBLANK(R315)),R313&gt;0),AND(AND(R315&gt;=0,NOT(ISBLANK(R315))),R313&lt;=0)),"R","G")</f>
        <v>G</v>
      </c>
      <c r="U315" s="122"/>
    </row>
    <row r="316" spans="1:21" s="52" customFormat="1" x14ac:dyDescent="0.25">
      <c r="B316" s="44"/>
      <c r="C316" s="44"/>
      <c r="D316" s="54"/>
      <c r="E316" s="54"/>
      <c r="F316" s="54"/>
      <c r="G316" s="54"/>
      <c r="H316" s="54"/>
      <c r="I316" s="54"/>
      <c r="J316" s="54"/>
      <c r="K316" s="54"/>
      <c r="L316" s="54"/>
      <c r="M316" s="54"/>
      <c r="N316" s="54"/>
      <c r="O316" s="54"/>
      <c r="P316" s="54"/>
      <c r="R316" s="26"/>
      <c r="U316" s="122"/>
    </row>
    <row r="317" spans="1:21" s="52" customFormat="1" ht="30.75" customHeight="1" x14ac:dyDescent="0.25">
      <c r="B317" s="44" t="s">
        <v>216</v>
      </c>
      <c r="C317" s="44"/>
      <c r="D317" s="184" t="s">
        <v>206</v>
      </c>
      <c r="E317" s="184"/>
      <c r="F317" s="184"/>
      <c r="G317" s="184"/>
      <c r="H317" s="184"/>
      <c r="I317" s="184"/>
      <c r="J317" s="184"/>
      <c r="K317" s="184"/>
      <c r="L317" s="184"/>
      <c r="M317" s="184"/>
      <c r="N317" s="184"/>
      <c r="O317" s="184"/>
      <c r="P317" s="54"/>
      <c r="R317" s="16"/>
      <c r="T317" s="11" t="str">
        <f>IF(ISBLANK(R317),"R","G")</f>
        <v>R</v>
      </c>
      <c r="U317" s="122"/>
    </row>
    <row r="318" spans="1:21" s="52" customFormat="1" x14ac:dyDescent="0.25">
      <c r="B318" s="44"/>
      <c r="C318" s="44"/>
      <c r="D318" s="54"/>
      <c r="E318" s="54"/>
      <c r="F318" s="54"/>
      <c r="G318" s="54"/>
      <c r="H318" s="54"/>
      <c r="I318" s="54"/>
      <c r="J318" s="54"/>
      <c r="K318" s="54"/>
      <c r="L318" s="54"/>
      <c r="M318" s="54"/>
      <c r="N318" s="54"/>
      <c r="O318" s="54"/>
      <c r="P318" s="54"/>
      <c r="R318" s="26"/>
      <c r="U318" s="122"/>
    </row>
    <row r="319" spans="1:21" s="52" customFormat="1" ht="30.75" customHeight="1" x14ac:dyDescent="0.25">
      <c r="B319" s="44" t="s">
        <v>217</v>
      </c>
      <c r="C319" s="44"/>
      <c r="D319" s="184" t="s">
        <v>207</v>
      </c>
      <c r="E319" s="184"/>
      <c r="F319" s="184"/>
      <c r="G319" s="184"/>
      <c r="H319" s="184"/>
      <c r="I319" s="184"/>
      <c r="J319" s="184"/>
      <c r="K319" s="184"/>
      <c r="L319" s="184"/>
      <c r="M319" s="184"/>
      <c r="N319" s="184"/>
      <c r="O319" s="184"/>
      <c r="P319" s="54"/>
      <c r="R319" s="16"/>
      <c r="T319" s="11" t="str">
        <f>IF(ISBLANK(R319),"R","G")</f>
        <v>R</v>
      </c>
      <c r="U319" s="122"/>
    </row>
    <row r="320" spans="1:21" s="52" customFormat="1" x14ac:dyDescent="0.25">
      <c r="B320" s="44"/>
      <c r="C320" s="44"/>
      <c r="D320" s="54"/>
      <c r="E320" s="54"/>
      <c r="F320" s="54"/>
      <c r="G320" s="54"/>
      <c r="H320" s="54"/>
      <c r="I320" s="54"/>
      <c r="J320" s="54"/>
      <c r="K320" s="54"/>
      <c r="L320" s="54"/>
      <c r="M320" s="54"/>
      <c r="N320" s="54"/>
      <c r="O320" s="54"/>
      <c r="P320" s="54"/>
      <c r="R320" s="26"/>
      <c r="U320" s="122"/>
    </row>
    <row r="321" spans="2:21" s="52" customFormat="1" ht="30.75" customHeight="1" x14ac:dyDescent="0.25">
      <c r="B321" s="44" t="s">
        <v>218</v>
      </c>
      <c r="C321" s="44"/>
      <c r="D321" s="184" t="s">
        <v>208</v>
      </c>
      <c r="E321" s="184"/>
      <c r="F321" s="184"/>
      <c r="G321" s="184"/>
      <c r="H321" s="184"/>
      <c r="I321" s="184"/>
      <c r="J321" s="184"/>
      <c r="K321" s="184"/>
      <c r="L321" s="184"/>
      <c r="M321" s="184"/>
      <c r="N321" s="184"/>
      <c r="O321" s="184"/>
      <c r="P321" s="54"/>
      <c r="R321" s="16"/>
      <c r="T321" s="11" t="str">
        <f>IF(ISBLANK(R321),"R","G")</f>
        <v>R</v>
      </c>
      <c r="U321" s="122"/>
    </row>
    <row r="322" spans="2:21" s="52" customFormat="1" x14ac:dyDescent="0.25">
      <c r="B322" s="44"/>
      <c r="C322" s="44"/>
      <c r="D322" s="54"/>
      <c r="E322" s="54"/>
      <c r="F322" s="54"/>
      <c r="G322" s="54"/>
      <c r="H322" s="54"/>
      <c r="I322" s="54"/>
      <c r="J322" s="54"/>
      <c r="K322" s="54"/>
      <c r="L322" s="54"/>
      <c r="M322" s="54"/>
      <c r="N322" s="54"/>
      <c r="O322" s="54"/>
      <c r="P322" s="54"/>
      <c r="R322" s="26"/>
      <c r="U322" s="122"/>
    </row>
    <row r="323" spans="2:21" s="52" customFormat="1" x14ac:dyDescent="0.25">
      <c r="B323" s="44" t="s">
        <v>219</v>
      </c>
      <c r="C323" s="44"/>
      <c r="D323" s="184" t="s">
        <v>209</v>
      </c>
      <c r="E323" s="184"/>
      <c r="F323" s="184"/>
      <c r="G323" s="184"/>
      <c r="H323" s="184"/>
      <c r="I323" s="184"/>
      <c r="J323" s="184"/>
      <c r="K323" s="184"/>
      <c r="L323" s="184"/>
      <c r="M323" s="184"/>
      <c r="N323" s="184"/>
      <c r="O323" s="184"/>
      <c r="P323" s="54"/>
      <c r="R323" s="16"/>
      <c r="T323" s="11" t="str">
        <f>IF(OR(AND(OR(R321="Fully automated",R321="Partially automated",R321="Manual"),ISBLANK(R323)),AND(AND(R321&lt;&gt;"Fully automated",R321&lt;&gt;"Partially automated",R321&lt;&gt;"Manual"),NOT(ISBLANK(R323)))),"R","G")</f>
        <v>G</v>
      </c>
      <c r="U323" s="122"/>
    </row>
    <row r="324" spans="2:21" s="52" customFormat="1" x14ac:dyDescent="0.25">
      <c r="B324" s="44"/>
      <c r="C324" s="44"/>
      <c r="D324" s="54"/>
      <c r="E324" s="54"/>
      <c r="F324" s="54"/>
      <c r="G324" s="54"/>
      <c r="H324" s="54"/>
      <c r="I324" s="54"/>
      <c r="J324" s="54"/>
      <c r="K324" s="54"/>
      <c r="L324" s="54"/>
      <c r="M324" s="54"/>
      <c r="N324" s="54"/>
      <c r="O324" s="54"/>
      <c r="P324" s="54"/>
      <c r="R324" s="26"/>
      <c r="U324" s="122"/>
    </row>
    <row r="325" spans="2:21" s="52" customFormat="1" x14ac:dyDescent="0.25">
      <c r="B325" s="44" t="s">
        <v>220</v>
      </c>
      <c r="C325" s="44"/>
      <c r="D325" s="184" t="s">
        <v>1300</v>
      </c>
      <c r="E325" s="184"/>
      <c r="F325" s="184"/>
      <c r="G325" s="184"/>
      <c r="H325" s="184"/>
      <c r="I325" s="184"/>
      <c r="J325" s="184"/>
      <c r="K325" s="184"/>
      <c r="L325" s="184"/>
      <c r="M325" s="184"/>
      <c r="N325" s="184"/>
      <c r="O325" s="184"/>
      <c r="P325" s="54"/>
      <c r="R325" s="16"/>
      <c r="T325" s="11" t="str">
        <f>IF(AND(ISBLANK(R325),NOT(ISBLANK(R326))),"G",IF(AND(NOT(ISBLANK(R325)),NOT(ISBLANK(R326))),"R",IF(OR(AND(OR(R321="Fully automated",R321="Partially automated",R321="Manual"),ISBLANK(R325)),AND(AND(R321&lt;&gt;"Fully automated",R321&lt;&gt;"Partially automated",R321&lt;&gt;"Manual"),NOT(ISBLANK(R325)))),"R","G")))</f>
        <v>G</v>
      </c>
      <c r="U325" s="122"/>
    </row>
    <row r="326" spans="2:21" s="52" customFormat="1" x14ac:dyDescent="0.25">
      <c r="B326" s="108" t="s">
        <v>1328</v>
      </c>
      <c r="C326" s="44"/>
      <c r="D326" s="54"/>
      <c r="E326" s="54"/>
      <c r="F326" s="54"/>
      <c r="G326" s="54"/>
      <c r="H326" s="54"/>
      <c r="I326" s="54"/>
      <c r="J326" s="54"/>
      <c r="K326" s="54"/>
      <c r="L326" s="54"/>
      <c r="M326" s="54"/>
      <c r="N326" s="54"/>
      <c r="O326" s="198" t="s">
        <v>305</v>
      </c>
      <c r="P326" s="198"/>
      <c r="R326" s="16"/>
      <c r="T326" s="11" t="str">
        <f>IF(OR(ISBLANK(R321),R321="N/A - No transaction monitoring is carried out"),"G",IF(OR(AND(ISBLANK($R$325),$R$326="Not Applicable"),AND(NOT(ISBLANK($R$325)),ISBLANK($R$326))),"G","R"))</f>
        <v>G</v>
      </c>
      <c r="U326" s="122"/>
    </row>
    <row r="327" spans="2:21" s="52" customFormat="1" x14ac:dyDescent="0.25">
      <c r="B327" s="44"/>
      <c r="C327" s="44"/>
      <c r="D327" s="54"/>
      <c r="E327" s="54"/>
      <c r="F327" s="54"/>
      <c r="G327" s="54"/>
      <c r="H327" s="54"/>
      <c r="I327" s="54"/>
      <c r="J327" s="54"/>
      <c r="K327" s="54"/>
      <c r="L327" s="54"/>
      <c r="M327" s="54"/>
      <c r="N327" s="54"/>
      <c r="O327" s="54"/>
      <c r="P327" s="54"/>
      <c r="U327" s="122"/>
    </row>
    <row r="328" spans="2:21" s="52" customFormat="1" ht="38.25" customHeight="1" x14ac:dyDescent="0.25">
      <c r="B328" s="44" t="s">
        <v>221</v>
      </c>
      <c r="C328" s="44"/>
      <c r="D328" s="184" t="s">
        <v>210</v>
      </c>
      <c r="E328" s="184"/>
      <c r="F328" s="184"/>
      <c r="G328" s="184"/>
      <c r="H328" s="184"/>
      <c r="I328" s="184"/>
      <c r="J328" s="184"/>
      <c r="K328" s="184"/>
      <c r="L328" s="184"/>
      <c r="M328" s="184"/>
      <c r="N328" s="184"/>
      <c r="O328" s="184"/>
      <c r="P328" s="54"/>
      <c r="R328" s="16"/>
      <c r="T328" s="11" t="str">
        <f>IF(OR(AND(OR(R325="Real-time",R325="Combination of all"),ISBLANK(R328)),AND(AND(R325&lt;&gt;"Real-time",R325&lt;&gt;"Combination of all"),NOT(ISBLANK(R328)))),"R","G")</f>
        <v>G</v>
      </c>
      <c r="U328" s="122"/>
    </row>
    <row r="329" spans="2:21" s="52" customFormat="1" x14ac:dyDescent="0.25">
      <c r="B329" s="44"/>
      <c r="C329" s="44"/>
      <c r="D329" s="54"/>
      <c r="E329" s="54"/>
      <c r="F329" s="54"/>
      <c r="G329" s="54"/>
      <c r="H329" s="54"/>
      <c r="I329" s="54"/>
      <c r="J329" s="54"/>
      <c r="K329" s="54"/>
      <c r="L329" s="54"/>
      <c r="M329" s="54"/>
      <c r="N329" s="54"/>
      <c r="O329" s="54"/>
      <c r="P329" s="54"/>
      <c r="R329" s="26"/>
      <c r="U329" s="122"/>
    </row>
    <row r="330" spans="2:21" s="52" customFormat="1" x14ac:dyDescent="0.25">
      <c r="B330" s="52" t="s">
        <v>222</v>
      </c>
      <c r="C330" s="44"/>
      <c r="D330" s="184" t="s">
        <v>211</v>
      </c>
      <c r="E330" s="184"/>
      <c r="F330" s="184"/>
      <c r="G330" s="184"/>
      <c r="H330" s="184"/>
      <c r="I330" s="184"/>
      <c r="J330" s="184"/>
      <c r="K330" s="184"/>
      <c r="L330" s="184"/>
      <c r="M330" s="184"/>
      <c r="N330" s="184"/>
      <c r="O330" s="184"/>
      <c r="P330" s="54"/>
      <c r="R330" s="16"/>
      <c r="T330" s="11" t="str">
        <f>IF(AND(NOT(ISBLANK(R330)),NOT(ISBLANK(R331))),"R",IF(AND(ISBLANK(R330),NOT(ISBLANK(R331))),"G",IF(OR(R325="Pre-event",ISBLANK(R325)),"G",IF(AND(NOT(ISBLANK(R330)),R331="Not Available"),"R",IF(OR(AND(OR(R325="Real-time",R325="Combination",R325="Combination of pre-event and post-event"),ISBLANK(R330)),AND(AND(R325&lt;&gt;"Real-time",R325&lt;&gt;"Combination",R325&lt;&gt;"Combination of pre-event and post-event"),ISBLANK(R330))),"R","G")))))</f>
        <v>G</v>
      </c>
      <c r="U330" s="122"/>
    </row>
    <row r="331" spans="2:21" s="52" customFormat="1" x14ac:dyDescent="0.25">
      <c r="B331" s="108" t="s">
        <v>1330</v>
      </c>
      <c r="C331" s="44"/>
      <c r="D331" s="54"/>
      <c r="E331" s="54"/>
      <c r="F331" s="54"/>
      <c r="G331" s="54"/>
      <c r="H331" s="54"/>
      <c r="I331" s="54"/>
      <c r="J331" s="54"/>
      <c r="K331" s="54"/>
      <c r="L331" s="54"/>
      <c r="M331" s="54"/>
      <c r="N331" s="54"/>
      <c r="O331" s="198" t="s">
        <v>305</v>
      </c>
      <c r="P331" s="198"/>
      <c r="Q331" s="114"/>
      <c r="R331" s="16"/>
      <c r="T331" s="11" t="str">
        <f>IF(AND(NOT(ISBLANK(R330)),NOT(ISBLANK(R331))),"R",IF(OR(R325="Pre-event",ISBLANK(R325)),"G",
IF(OR(
AND(ISBLANK($R$330),$R$331="Not Applicable"),
AND(NOT(ISBLANK($R$330)),ISBLANK($R$331))
),
"G","R"
)
))</f>
        <v>G</v>
      </c>
      <c r="U331" s="122"/>
    </row>
    <row r="332" spans="2:21" s="52" customFormat="1" x14ac:dyDescent="0.25">
      <c r="B332" s="44"/>
      <c r="C332" s="44"/>
      <c r="D332" s="54"/>
      <c r="E332" s="54"/>
      <c r="F332" s="54"/>
      <c r="G332" s="54"/>
      <c r="H332" s="54"/>
      <c r="I332" s="54"/>
      <c r="J332" s="54"/>
      <c r="K332" s="54"/>
      <c r="L332" s="54"/>
      <c r="M332" s="54"/>
      <c r="N332" s="54"/>
      <c r="O332" s="54"/>
      <c r="P332" s="54"/>
      <c r="R332" s="26"/>
      <c r="U332" s="122"/>
    </row>
    <row r="333" spans="2:21" s="52" customFormat="1" ht="30.75" customHeight="1" x14ac:dyDescent="0.25">
      <c r="B333" s="44" t="s">
        <v>223</v>
      </c>
      <c r="C333" s="44"/>
      <c r="D333" s="184" t="s">
        <v>1209</v>
      </c>
      <c r="E333" s="184"/>
      <c r="F333" s="184"/>
      <c r="G333" s="184"/>
      <c r="H333" s="184"/>
      <c r="I333" s="184"/>
      <c r="J333" s="184"/>
      <c r="K333" s="184"/>
      <c r="L333" s="184"/>
      <c r="M333" s="184"/>
      <c r="N333" s="184"/>
      <c r="O333" s="184"/>
      <c r="P333" s="54"/>
      <c r="R333" s="67"/>
      <c r="T333" s="11" t="str">
        <f>IF(OR(AND(OR($R$325="Real-time",$R$325="Combination of all",$R$325="Post-event",$R$325="Combination of pre-event and post-event"),ISBLANK(R333)),AND(AND($R$325&lt;&gt;"Real-time",$R$325&lt;&gt;"Combination of all",$R$325&lt;&gt;"Post-event",,$R$325="Combination of pre-event and post-event"),NOT(ISBLANK(R333)))),"R","G")</f>
        <v>G</v>
      </c>
      <c r="U333" s="122"/>
    </row>
    <row r="334" spans="2:21" s="52" customFormat="1" x14ac:dyDescent="0.25">
      <c r="B334" s="44"/>
      <c r="C334" s="44"/>
      <c r="D334" s="54"/>
      <c r="E334" s="54"/>
      <c r="F334" s="54"/>
      <c r="G334" s="54"/>
      <c r="H334" s="54"/>
      <c r="I334" s="54"/>
      <c r="J334" s="54"/>
      <c r="K334" s="54"/>
      <c r="L334" s="54"/>
      <c r="M334" s="54"/>
      <c r="N334" s="54"/>
      <c r="O334" s="54"/>
      <c r="P334" s="54"/>
      <c r="R334" s="26"/>
      <c r="U334" s="122"/>
    </row>
    <row r="335" spans="2:21" s="52" customFormat="1" ht="30.75" customHeight="1" x14ac:dyDescent="0.25">
      <c r="B335" s="54" t="s">
        <v>224</v>
      </c>
      <c r="C335" s="44"/>
      <c r="D335" s="184" t="s">
        <v>212</v>
      </c>
      <c r="E335" s="184"/>
      <c r="F335" s="184"/>
      <c r="G335" s="184"/>
      <c r="H335" s="184"/>
      <c r="I335" s="184"/>
      <c r="J335" s="184"/>
      <c r="K335" s="184"/>
      <c r="L335" s="184"/>
      <c r="M335" s="184"/>
      <c r="N335" s="184"/>
      <c r="O335" s="184"/>
      <c r="P335" s="54"/>
      <c r="R335" s="67"/>
      <c r="T335" s="11" t="str">
        <f>IF(AND(ISBLANK(R335),NOT(ISBLANK(R336))),"G",IF(OR(R325="Pre-event",ISBLANK(R325)),"G",IF(AND(NOT(ISBLANK(R335)),R336="Not Available"),"R",IF(OR(AND(OR(R325="Real-time",R325="Combination",R325="Combination of pre-event and post-event"),ISBLANK(R335)),AND(AND(R325&lt;&gt;"Real-time",R325&lt;&gt;"Combination",R325&lt;&gt;"Combination of pre-event and post-event"),ISBLANK(R335))),"R","G"))))</f>
        <v>G</v>
      </c>
      <c r="U335" s="122"/>
    </row>
    <row r="336" spans="2:21" s="52" customFormat="1" ht="30" x14ac:dyDescent="0.25">
      <c r="B336" s="108" t="s">
        <v>1329</v>
      </c>
      <c r="C336" s="44"/>
      <c r="D336" s="54"/>
      <c r="E336" s="54"/>
      <c r="F336" s="54"/>
      <c r="G336" s="54"/>
      <c r="H336" s="54"/>
      <c r="I336" s="54"/>
      <c r="J336" s="54"/>
      <c r="K336" s="54"/>
      <c r="L336" s="54"/>
      <c r="M336" s="54"/>
      <c r="N336" s="54"/>
      <c r="O336" s="187" t="s">
        <v>936</v>
      </c>
      <c r="P336" s="187"/>
      <c r="Q336" s="114"/>
      <c r="R336" s="16"/>
      <c r="T336" s="11" t="str">
        <f>IF(OR(R325="Pre-event", ISBLANK(R325)),"G",IF(OR(AND(ISBLANK($R$335),$R$336="Not Available"),AND(NOT(ISBLANK($R$335)),ISBLANK($R$336))),"G","R"))</f>
        <v>G</v>
      </c>
      <c r="U336" s="122"/>
    </row>
    <row r="337" spans="1:21" s="52" customFormat="1" x14ac:dyDescent="0.25">
      <c r="B337" s="44"/>
      <c r="C337" s="44"/>
      <c r="D337" s="54"/>
      <c r="E337" s="54"/>
      <c r="F337" s="54"/>
      <c r="G337" s="54"/>
      <c r="H337" s="54"/>
      <c r="I337" s="54"/>
      <c r="J337" s="54"/>
      <c r="K337" s="54"/>
      <c r="L337" s="54"/>
      <c r="M337" s="54"/>
      <c r="N337" s="54"/>
      <c r="O337" s="54"/>
      <c r="P337" s="54"/>
      <c r="R337" s="26"/>
      <c r="U337" s="122"/>
    </row>
    <row r="338" spans="1:21" s="52" customFormat="1" ht="30.75" customHeight="1" x14ac:dyDescent="0.25">
      <c r="B338" s="44" t="s">
        <v>778</v>
      </c>
      <c r="C338" s="44"/>
      <c r="D338" s="184" t="s">
        <v>1304</v>
      </c>
      <c r="E338" s="184"/>
      <c r="F338" s="184"/>
      <c r="G338" s="184"/>
      <c r="H338" s="184"/>
      <c r="I338" s="184"/>
      <c r="J338" s="184"/>
      <c r="K338" s="184"/>
      <c r="L338" s="184"/>
      <c r="M338" s="184"/>
      <c r="N338" s="184"/>
      <c r="O338" s="184"/>
      <c r="P338" s="54"/>
      <c r="R338" s="67"/>
      <c r="T338" s="11" t="str">
        <f>IF(OR(AND(ISBLANK($R$338),$R$339="Not Applicable"),AND(NOT(ISBLANK($R$338)),ISBLANK($R$339))),"G","R")</f>
        <v>R</v>
      </c>
      <c r="U338" s="122"/>
    </row>
    <row r="339" spans="1:21" s="52" customFormat="1" x14ac:dyDescent="0.25">
      <c r="B339" s="57" t="s">
        <v>1331</v>
      </c>
      <c r="C339" s="44"/>
      <c r="D339" s="54"/>
      <c r="E339" s="54"/>
      <c r="F339" s="54"/>
      <c r="G339" s="54"/>
      <c r="H339" s="54"/>
      <c r="I339" s="54"/>
      <c r="J339" s="54"/>
      <c r="K339" s="54"/>
      <c r="L339" s="54"/>
      <c r="M339" s="54"/>
      <c r="N339" s="54"/>
      <c r="O339" s="198" t="s">
        <v>305</v>
      </c>
      <c r="P339" s="198"/>
      <c r="Q339" s="114"/>
      <c r="R339" s="67"/>
      <c r="T339" s="11" t="str">
        <f>IF(OR(AND(ISBLANK($R$338),$R$339="Not Applicable"),AND(NOT(ISBLANK($R$338)),ISBLANK($R$339))),"G","R")</f>
        <v>R</v>
      </c>
      <c r="U339" s="122"/>
    </row>
    <row r="340" spans="1:21" x14ac:dyDescent="0.25">
      <c r="R340" s="10"/>
    </row>
    <row r="341" spans="1:21" ht="6.6" customHeight="1" x14ac:dyDescent="0.25">
      <c r="A341" s="13"/>
      <c r="B341" s="58"/>
      <c r="C341" s="58"/>
      <c r="D341" s="13"/>
      <c r="E341" s="13"/>
      <c r="F341" s="13"/>
      <c r="G341" s="13"/>
      <c r="H341" s="13"/>
      <c r="I341" s="13"/>
      <c r="J341" s="13"/>
      <c r="K341" s="13"/>
      <c r="L341" s="13"/>
      <c r="M341" s="13"/>
      <c r="N341" s="13"/>
      <c r="O341" s="13"/>
      <c r="P341" s="13"/>
      <c r="Q341" s="13"/>
      <c r="R341" s="59"/>
      <c r="S341" s="13"/>
      <c r="T341" s="13"/>
    </row>
  </sheetData>
  <sheetProtection algorithmName="SHA-512" hashValue="UvqZK/r2RPoM7Rf7XEqiJzRsxXLTm3HG5WH9uG2E08bxUOlXTOqdtDZXSh2oa6rLsos3+itzMD7J8vpKrA8oVA==" saltValue="1Skrs+rsRm2GSMqfUwIUIg==" spinCount="100000" sheet="1" objects="1" scenarios="1"/>
  <mergeCells count="114">
    <mergeCell ref="D159:O159"/>
    <mergeCell ref="D147:O147"/>
    <mergeCell ref="D155:O155"/>
    <mergeCell ref="D141:O141"/>
    <mergeCell ref="D157:O157"/>
    <mergeCell ref="D103:O103"/>
    <mergeCell ref="D105:O105"/>
    <mergeCell ref="D107:O107"/>
    <mergeCell ref="D113:O113"/>
    <mergeCell ref="D115:O115"/>
    <mergeCell ref="D110:O110"/>
    <mergeCell ref="D153:O153"/>
    <mergeCell ref="D132:O132"/>
    <mergeCell ref="M111:P111"/>
    <mergeCell ref="M108:P108"/>
    <mergeCell ref="D126:O126"/>
    <mergeCell ref="D128:O128"/>
    <mergeCell ref="D117:O117"/>
    <mergeCell ref="D114:O114"/>
    <mergeCell ref="D33:O33"/>
    <mergeCell ref="D35:O35"/>
    <mergeCell ref="E72:O72"/>
    <mergeCell ref="E73:O73"/>
    <mergeCell ref="E74:O74"/>
    <mergeCell ref="E75:O75"/>
    <mergeCell ref="D77:O77"/>
    <mergeCell ref="D28:O28"/>
    <mergeCell ref="D31:O31"/>
    <mergeCell ref="D48:O48"/>
    <mergeCell ref="D68:O68"/>
    <mergeCell ref="D37:O37"/>
    <mergeCell ref="D46:O46"/>
    <mergeCell ref="D44:O44"/>
    <mergeCell ref="D58:O58"/>
    <mergeCell ref="D70:O70"/>
    <mergeCell ref="D71:P71"/>
    <mergeCell ref="E2:R2"/>
    <mergeCell ref="D25:O25"/>
    <mergeCell ref="D27:O27"/>
    <mergeCell ref="D30:O30"/>
    <mergeCell ref="D15:O15"/>
    <mergeCell ref="D13:O13"/>
    <mergeCell ref="D23:O23"/>
    <mergeCell ref="D21:O21"/>
    <mergeCell ref="D17:O17"/>
    <mergeCell ref="D19:O19"/>
    <mergeCell ref="D96:O96"/>
    <mergeCell ref="D139:O139"/>
    <mergeCell ref="D124:O124"/>
    <mergeCell ref="M179:P179"/>
    <mergeCell ref="O199:P199"/>
    <mergeCell ref="M230:P230"/>
    <mergeCell ref="D266:O266"/>
    <mergeCell ref="D227:O227"/>
    <mergeCell ref="D229:O229"/>
    <mergeCell ref="D253:O253"/>
    <mergeCell ref="D244:O244"/>
    <mergeCell ref="D235:O235"/>
    <mergeCell ref="D234:O234"/>
    <mergeCell ref="D264:O264"/>
    <mergeCell ref="D225:O225"/>
    <mergeCell ref="D232:O232"/>
    <mergeCell ref="D262:O262"/>
    <mergeCell ref="D223:O223"/>
    <mergeCell ref="D221:O221"/>
    <mergeCell ref="D198:O198"/>
    <mergeCell ref="M217:P217"/>
    <mergeCell ref="D186:O186"/>
    <mergeCell ref="D190:O190"/>
    <mergeCell ref="D188:O188"/>
    <mergeCell ref="D196:O196"/>
    <mergeCell ref="D194:O194"/>
    <mergeCell ref="D192:O192"/>
    <mergeCell ref="D210:O210"/>
    <mergeCell ref="D212:O212"/>
    <mergeCell ref="D203:O203"/>
    <mergeCell ref="D201:O201"/>
    <mergeCell ref="D130:O130"/>
    <mergeCell ref="D335:O335"/>
    <mergeCell ref="D167:O167"/>
    <mergeCell ref="D165:O165"/>
    <mergeCell ref="D163:O163"/>
    <mergeCell ref="D214:O214"/>
    <mergeCell ref="D216:O216"/>
    <mergeCell ref="D273:O273"/>
    <mergeCell ref="D274:O274"/>
    <mergeCell ref="D161:O161"/>
    <mergeCell ref="D169:O169"/>
    <mergeCell ref="D219:O219"/>
    <mergeCell ref="D171:O171"/>
    <mergeCell ref="M242:P242"/>
    <mergeCell ref="M243:P243"/>
    <mergeCell ref="M251:P251"/>
    <mergeCell ref="N260:Q260"/>
    <mergeCell ref="O339:P339"/>
    <mergeCell ref="O336:P336"/>
    <mergeCell ref="D282:O282"/>
    <mergeCell ref="D290:O290"/>
    <mergeCell ref="D298:O298"/>
    <mergeCell ref="D304:O304"/>
    <mergeCell ref="D311:O311"/>
    <mergeCell ref="D338:O338"/>
    <mergeCell ref="D323:O323"/>
    <mergeCell ref="D325:O325"/>
    <mergeCell ref="D328:O328"/>
    <mergeCell ref="D330:O330"/>
    <mergeCell ref="D333:O333"/>
    <mergeCell ref="D313:O313"/>
    <mergeCell ref="D315:O315"/>
    <mergeCell ref="D317:O317"/>
    <mergeCell ref="D319:O319"/>
    <mergeCell ref="D321:O321"/>
    <mergeCell ref="O326:P326"/>
    <mergeCell ref="O331:P331"/>
  </mergeCells>
  <phoneticPr fontId="27" type="noConversion"/>
  <conditionalFormatting sqref="B336">
    <cfRule type="expression" dxfId="49" priority="17">
      <formula>AND($R$321&lt;&gt;"Fully automated",$R$321&lt;&gt;"Partially automated",$R$321&lt;&gt;"Manual")</formula>
    </cfRule>
  </conditionalFormatting>
  <conditionalFormatting sqref="B19:R19">
    <cfRule type="expression" dxfId="48" priority="717">
      <formula>$R$17&lt;&gt;"Yes"</formula>
    </cfRule>
  </conditionalFormatting>
  <conditionalFormatting sqref="B30:R31">
    <cfRule type="expression" dxfId="47" priority="672">
      <formula>$R$27&lt;=0</formula>
    </cfRule>
  </conditionalFormatting>
  <conditionalFormatting sqref="B37:R37">
    <cfRule type="expression" dxfId="46" priority="671">
      <formula>$R$35&lt;&gt;"Yes"</formula>
    </cfRule>
  </conditionalFormatting>
  <conditionalFormatting sqref="B46:R46">
    <cfRule type="expression" dxfId="45" priority="57">
      <formula>AND($R$44&lt;&gt;"Yes, outsourcing within the group", $R$44&lt;&gt;"Yes, outsourcing outside the group")</formula>
    </cfRule>
  </conditionalFormatting>
  <conditionalFormatting sqref="B48:R56">
    <cfRule type="expression" dxfId="44" priority="623">
      <formula>$R$44&lt;&gt;"Yes, outsourcing outside the group"</formula>
    </cfRule>
  </conditionalFormatting>
  <conditionalFormatting sqref="B58:R66">
    <cfRule type="expression" dxfId="43" priority="246">
      <formula>$R$44&lt;&gt;"Yes, outsourcing within the group"</formula>
    </cfRule>
  </conditionalFormatting>
  <conditionalFormatting sqref="B68:R68">
    <cfRule type="expression" dxfId="42" priority="612">
      <formula>AND($R$44&lt;&gt;"Yes, outsourcing within the group", $R$44&lt;&gt;"Yes, outsourcing outside the group")</formula>
    </cfRule>
  </conditionalFormatting>
  <conditionalFormatting sqref="B70:R90">
    <cfRule type="expression" dxfId="41" priority="61">
      <formula>AND($R$44&lt;&gt;"Yes, outsourcing within the group", $R$44&lt;&gt;"Yes, outsourcing outside the group")</formula>
    </cfRule>
  </conditionalFormatting>
  <conditionalFormatting sqref="B107:R108">
    <cfRule type="expression" dxfId="40" priority="53">
      <formula>MF.12&lt;=0</formula>
    </cfRule>
  </conditionalFormatting>
  <conditionalFormatting sqref="B113:R115">
    <cfRule type="expression" dxfId="39" priority="261">
      <formula>AND($R$44&lt;&gt;"Yes, outsourcing within the group", $R$44&lt;&gt;"Yes, outsourcing outside the group")</formula>
    </cfRule>
  </conditionalFormatting>
  <conditionalFormatting sqref="B126:R126">
    <cfRule type="expression" dxfId="38" priority="235">
      <formula>$R$124&lt;=0</formula>
    </cfRule>
  </conditionalFormatting>
  <conditionalFormatting sqref="B128:R128">
    <cfRule type="expression" dxfId="37" priority="234">
      <formula>$R$124&lt;=0</formula>
    </cfRule>
  </conditionalFormatting>
  <conditionalFormatting sqref="B157:R157">
    <cfRule type="expression" dxfId="36" priority="557">
      <formula>$R$155&lt;&gt;"Not Applicable"</formula>
    </cfRule>
  </conditionalFormatting>
  <conditionalFormatting sqref="B161:R161">
    <cfRule type="expression" dxfId="35" priority="547">
      <formula>AND($R$159 &lt;&gt; "Yes - The function is carried out in-house", $R$159 &lt;&gt; "Yes - The function is outsourced")</formula>
    </cfRule>
  </conditionalFormatting>
  <conditionalFormatting sqref="B163:R163">
    <cfRule type="expression" dxfId="34" priority="542">
      <formula>AND($R$159 &lt;&gt; "Yes - The function is carried out in-house", $R$159 &lt;&gt; "Yes - The function is outsourced")</formula>
    </cfRule>
  </conditionalFormatting>
  <conditionalFormatting sqref="B165:R165">
    <cfRule type="expression" dxfId="33" priority="538">
      <formula>AND($R$163&lt;&gt;"1 month ago",$R$163&lt;&gt;"2 - 3 months ago",$R$163&lt;&gt;"4 - 6 months ago",$R$163&lt;&gt;"7 - 12 months ago",$R$163&lt;&gt;"1 - 2 years ago",$R$163&lt;&gt;"Over 2 years go")</formula>
    </cfRule>
  </conditionalFormatting>
  <conditionalFormatting sqref="B167:R167">
    <cfRule type="expression" dxfId="32" priority="213">
      <formula>AND($R$163&lt;&gt;"1 month ago",$R$163&lt;&gt;"2 - 3 months ago",$R$163&lt;&gt;"4 - 6 months ago",$R$163&lt;&gt;"7 - 12 months ago",$R$163&lt;&gt;"1 - 2 years ago")</formula>
    </cfRule>
  </conditionalFormatting>
  <conditionalFormatting sqref="B169:R169">
    <cfRule type="expression" dxfId="31" priority="526">
      <formula>AND($R$163&lt;&gt;"1 month ago",$R$163&lt;&gt;"2 - 3 months ago",$R$163&lt;&gt;"4 - 6 months ago",$R$163&lt;&gt;"7 - 12 months ago",$R$163&lt;&gt;"1 - 2 years ago")</formula>
    </cfRule>
  </conditionalFormatting>
  <conditionalFormatting sqref="B171:R179">
    <cfRule type="expression" dxfId="30" priority="524">
      <formula>AND($R$163&lt;&gt;"1 month ago",$R$163&lt;&gt;"2 - 3 months ago",$R$163&lt;&gt;"4 - 6 months ago",$R$163&lt;&gt;"7 - 12 months ago",$R$163&lt;&gt;"1 - 2 years ago")</formula>
    </cfRule>
  </conditionalFormatting>
  <conditionalFormatting sqref="B179:R179">
    <cfRule type="expression" dxfId="29" priority="69">
      <formula>$R$178&lt;&gt;"Yes"</formula>
    </cfRule>
  </conditionalFormatting>
  <conditionalFormatting sqref="B188:R188 B199:D199 O199">
    <cfRule type="expression" dxfId="28" priority="509">
      <formula>OR($R$186="",$R$186="BRA not carried out")</formula>
    </cfRule>
  </conditionalFormatting>
  <conditionalFormatting sqref="B190:R190">
    <cfRule type="expression" dxfId="27" priority="89">
      <formula>OR($R$186="",$R$186="BRA not carried out")</formula>
    </cfRule>
  </conditionalFormatting>
  <conditionalFormatting sqref="B192:R192">
    <cfRule type="expression" dxfId="26" priority="88">
      <formula>OR($R$186="",$R$186="BRA not carried out")</formula>
    </cfRule>
  </conditionalFormatting>
  <conditionalFormatting sqref="B194:R194">
    <cfRule type="expression" dxfId="25" priority="87">
      <formula>OR($R$186="",$R$186="BRA not carried out")</formula>
    </cfRule>
  </conditionalFormatting>
  <conditionalFormatting sqref="B196:R196">
    <cfRule type="expression" dxfId="24" priority="86">
      <formula>OR($R$186="",$R$186="BRA not carried out")</formula>
    </cfRule>
  </conditionalFormatting>
  <conditionalFormatting sqref="B198:R198">
    <cfRule type="expression" dxfId="23" priority="65">
      <formula>OR($R$186="",$R$186="BRA not carried out")</formula>
    </cfRule>
  </conditionalFormatting>
  <conditionalFormatting sqref="B201:R201">
    <cfRule type="expression" dxfId="22" priority="75">
      <formula>OR($R$186="",$R$186="BRA not carried out")</formula>
    </cfRule>
  </conditionalFormatting>
  <conditionalFormatting sqref="B203:R203">
    <cfRule type="expression" dxfId="21" priority="74">
      <formula>OR($R$186="",$R$186="BRA not carried out")</formula>
    </cfRule>
  </conditionalFormatting>
  <conditionalFormatting sqref="B212:R212">
    <cfRule type="expression" dxfId="20" priority="458">
      <formula>$R$210&lt;&gt;"Yes"</formula>
    </cfRule>
  </conditionalFormatting>
  <conditionalFormatting sqref="B214:R214">
    <cfRule type="expression" dxfId="19" priority="451">
      <formula>OR($R$210&lt;&gt;"Yes",$R$212&lt;&gt;"Yes")</formula>
    </cfRule>
  </conditionalFormatting>
  <conditionalFormatting sqref="B216:R217">
    <cfRule type="expression" dxfId="18" priority="172">
      <formula>AND($R$210&lt;&gt;"Yes",$R$210&lt;&gt;"No")</formula>
    </cfRule>
  </conditionalFormatting>
  <conditionalFormatting sqref="B219:R219">
    <cfRule type="expression" dxfId="17" priority="169">
      <formula>AND($R$210&lt;&gt;"Yes",$R$210&lt;&gt;"No")</formula>
    </cfRule>
  </conditionalFormatting>
  <conditionalFormatting sqref="B223:R223">
    <cfRule type="expression" dxfId="16" priority="168">
      <formula>$R$221&lt;&gt;"Yes"</formula>
    </cfRule>
  </conditionalFormatting>
  <conditionalFormatting sqref="B232:R232">
    <cfRule type="expression" dxfId="15" priority="167">
      <formula>$R$229&lt;=0</formula>
    </cfRule>
  </conditionalFormatting>
  <conditionalFormatting sqref="B234:R261">
    <cfRule type="expression" dxfId="14" priority="158">
      <formula>$R$221&lt;&gt;"Yes"</formula>
    </cfRule>
  </conditionalFormatting>
  <conditionalFormatting sqref="B264:R264">
    <cfRule type="expression" dxfId="13" priority="417">
      <formula>$R$262&lt;=0</formula>
    </cfRule>
  </conditionalFormatting>
  <conditionalFormatting sqref="B313:R313">
    <cfRule type="expression" dxfId="12" priority="373">
      <formula>AND($R$311&lt;&gt;"Yes, pre-transaction", $R$311&lt;&gt;"Yes, post-transaction", $R$311&lt;&gt;"Yes, both pre-transaction and post-transaction")</formula>
    </cfRule>
  </conditionalFormatting>
  <conditionalFormatting sqref="B315:R315">
    <cfRule type="expression" dxfId="11" priority="40">
      <formula>$R$313&lt;=0</formula>
    </cfRule>
  </conditionalFormatting>
  <conditionalFormatting sqref="B323:R323">
    <cfRule type="expression" dxfId="10" priority="148">
      <formula>AND($R$321&lt;&gt;"Fully automated",$R$321&lt;&gt;"Partially automated",$R$321&lt;&gt;"Manual")</formula>
    </cfRule>
  </conditionalFormatting>
  <conditionalFormatting sqref="B325:R325 B326:O326 Q326:R326 B331">
    <cfRule type="expression" dxfId="9" priority="18">
      <formula>AND($R$321&lt;&gt;"Fully automated",$R$321&lt;&gt;"Partially automated",$R$321&lt;&gt;"Manual")</formula>
    </cfRule>
  </conditionalFormatting>
  <conditionalFormatting sqref="B328:R328">
    <cfRule type="expression" dxfId="8" priority="1">
      <formula>AND($R$325&lt;&gt;"Real-time",$R$325&lt;&gt;"Combination of all")</formula>
    </cfRule>
  </conditionalFormatting>
  <conditionalFormatting sqref="B329:R337">
    <cfRule type="expression" dxfId="7" priority="346">
      <formula>AND($R$325&lt;&gt;"Real-time",$R$325&lt;&gt;"Combination of all",$R$325&lt;&gt;"Combination of pre-event and post-event",$R$325&lt;&gt;"Post-event")</formula>
    </cfRule>
  </conditionalFormatting>
  <conditionalFormatting sqref="C339:N339">
    <cfRule type="expression" dxfId="6" priority="30">
      <formula>AND($R$325&lt;&gt;"Real-time",AND($R$325&lt;&gt;"Post-event",$R$325&lt;&gt;"Combination"))</formula>
    </cfRule>
  </conditionalFormatting>
  <conditionalFormatting sqref="C77:O90">
    <cfRule type="expression" dxfId="5" priority="123">
      <formula>$R$75&lt;&gt;"Yes"</formula>
    </cfRule>
  </conditionalFormatting>
  <conditionalFormatting sqref="M243:P243">
    <cfRule type="expression" dxfId="4" priority="15">
      <formula>AND($R$210&lt;&gt;"Yes",$R$210&lt;&gt;"No")</formula>
    </cfRule>
  </conditionalFormatting>
  <conditionalFormatting sqref="Q199:R199">
    <cfRule type="expression" dxfId="3" priority="20">
      <formula>OR($R$186="",$R$186="BRA not carried out")</formula>
    </cfRule>
  </conditionalFormatting>
  <conditionalFormatting sqref="T1:T274 T281:T282 T289:T290 T297:T1048576">
    <cfRule type="cellIs" dxfId="2" priority="43" operator="equal">
      <formula>"G"</formula>
    </cfRule>
    <cfRule type="cellIs" dxfId="1" priority="42" operator="equal">
      <formula>"R"</formula>
    </cfRule>
    <cfRule type="cellIs" dxfId="0" priority="41" operator="equal">
      <formula>"Y"</formula>
    </cfRule>
  </conditionalFormatting>
  <dataValidations count="13">
    <dataValidation type="decimal" operator="greaterThanOrEqual" allowBlank="1" showInputMessage="1" showErrorMessage="1" errorTitle="Error" error="Kindly ensure that you are inputting a number which is greater than or equal to 0." prompt="Kindly input a number greater than or equal to 0" sqref="R30" xr:uid="{D98364C6-9D90-4FCE-AB15-3E5BB5447D35}">
      <formula1>0</formula1>
    </dataValidation>
    <dataValidation type="decimal" operator="greaterThanOrEqual" allowBlank="1" showInputMessage="1" showErrorMessage="1" error="Kindly input a numerical value greater than or equal to 0" sqref="R27 R25" xr:uid="{A725B45E-600C-4884-A42A-C96726B96A63}">
      <formula1>0</formula1>
    </dataValidation>
    <dataValidation type="whole" operator="greaterThanOrEqual" allowBlank="1" showInputMessage="1" showErrorMessage="1" error="Kindly input a whole number _x000a_greater than or equal to 0" prompt="Kindly input a whole number greater than or equal to 0" sqref="R132 R219 R227 R338 R262 R266 R304 R313 R315 R130 R124 R126 R128 R229" xr:uid="{D0491FE5-8D58-4D3D-99A7-FDC44D63B574}">
      <formula1>0</formula1>
    </dataValidation>
    <dataValidation type="decimal" allowBlank="1" showInputMessage="1" showErrorMessage="1" error="Kindly input a percentage value between 0% and 100%" sqref="R103 R105" xr:uid="{97502B70-016A-4016-9AE7-1F0806C4BC9B}">
      <formula1>0</formula1>
      <formula2>1</formula2>
    </dataValidation>
    <dataValidation type="decimal" allowBlank="1" showInputMessage="1" showErrorMessage="1" sqref="R103 R105" xr:uid="{09A3E318-CCBD-4C89-96A7-FB682F01FD99}">
      <formula1>0</formula1>
      <formula2>100</formula2>
    </dataValidation>
    <dataValidation operator="greaterThanOrEqual" allowBlank="1" showInputMessage="1" showErrorMessage="1" error="Kindly input a whole number _x000a_greater than or equal to 0" sqref="R214" xr:uid="{4E8B797E-DDF0-4598-AF44-0B7544208E3D}"/>
    <dataValidation type="decimal" allowBlank="1" showInputMessage="1" showErrorMessage="1" error="Kindly input a percentage value between 0% and 100%" prompt="Please include an answer in this cell or choose &quot;Not Applicable&quot; in the cell below. Field should remain blank if one is opting for &quot;Not Applicable&quot;." sqref="R107 R110" xr:uid="{AE51C917-B3FA-499A-AD1A-4A0DDACABAA7}">
      <formula1>0</formula1>
      <formula2>1</formula2>
    </dataValidation>
    <dataValidation type="decimal" allowBlank="1" showInputMessage="1" showErrorMessage="1" prompt="Please include an answer in this cell or choose &quot;Not Applicable in the cell below. Do not include answers in both cells." sqref="R107" xr:uid="{B315A1B4-D38C-44E0-8725-B594FFFFCAB0}">
      <formula1>0</formula1>
      <formula2>100</formula2>
    </dataValidation>
    <dataValidation type="decimal" allowBlank="1" showInputMessage="1" showErrorMessage="1" prompt="Please include an answer in this cell or choose &quot;Not Applicable&quot; in the cell below. Field should remain blank if one is opting for &quot;Not Applicable&quot;." sqref="R110" xr:uid="{B814D0DD-AE2C-426D-BA37-34B70760DDCF}">
      <formula1>0</formula1>
      <formula2>100</formula2>
    </dataValidation>
    <dataValidation operator="greaterThanOrEqual" allowBlank="1" showInputMessage="1" showErrorMessage="1" error="Kindly input a whole number _x000a_greater than or equal to 0" prompt="Please include an answer in this cell or choose &quot;Not Available&quot; in the cell below. Field should remain blank if one is opting for &quot;Not Available&quot;." sqref="R216" xr:uid="{0CCC79CE-BD52-42BF-873F-3A47E8C490E3}"/>
    <dataValidation allowBlank="1" showInputMessage="1" showErrorMessage="1" prompt="This means that the user made use of formulas in the sheet which resulted in an error message. Kindly make sure that these issues are addressed before submitting the template." sqref="R5" xr:uid="{FF60291E-FE48-4637-B72E-A1844E3784C6}"/>
    <dataValidation type="whole" operator="greaterThanOrEqual" allowBlank="1" showInputMessage="1" showErrorMessage="1" error="Kindly input a whole number greater than or equal to 0" prompt="Kindly input a whole number greater than or equal to 0" sqref="R333 R124 R126 R128 R130 R335" xr:uid="{3C6329B2-D923-497C-B577-A316DEE5628E}">
      <formula1>0</formula1>
    </dataValidation>
    <dataValidation type="decimal" operator="greaterThan" allowBlank="1" showInputMessage="1" showErrorMessage="1" error="Kindly input a numerical value greater than 0" prompt="Kindly input a numerical value greater than 0" sqref="R330" xr:uid="{2448DC45-5E68-4A3D-A125-95ED80A738A1}">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7">
        <x14:dataValidation type="list" allowBlank="1" showInputMessage="1" showErrorMessage="1" xr:uid="{EAFC367A-B495-4163-98F8-5BF1FC932CFA}">
          <x14:formula1>
            <xm:f>List_2!$H$2:$H$100000</xm:f>
          </x14:formula1>
          <xm:sqref>R13:R14</xm:sqref>
        </x14:dataValidation>
        <x14:dataValidation type="list" allowBlank="1" showInputMessage="1" showErrorMessage="1" xr:uid="{A603208B-4734-40D0-B4A6-F7EBB4F3B04D}">
          <x14:formula1>
            <xm:f>List_2!$I$2:$I$100000</xm:f>
          </x14:formula1>
          <xm:sqref>R15</xm:sqref>
        </x14:dataValidation>
        <x14:dataValidation type="list" allowBlank="1" showInputMessage="1" showErrorMessage="1" xr:uid="{0B33FDDD-958D-481D-ACE9-D66755955769}">
          <x14:formula1>
            <xm:f>List_2!$C$2:$C$3</xm:f>
          </x14:formula1>
          <xm:sqref>R21 R35 R317 R17 R114:R115 R212 R319 R203</xm:sqref>
        </x14:dataValidation>
        <x14:dataValidation type="list" allowBlank="1" showInputMessage="1" showErrorMessage="1" xr:uid="{B58C332A-730A-48F9-B843-DF6B79033515}">
          <x14:formula1>
            <xm:f>List_2!$K$2:$K$100000</xm:f>
          </x14:formula1>
          <xm:sqref>R23</xm:sqref>
        </x14:dataValidation>
        <x14:dataValidation type="list" allowBlank="1" showInputMessage="1" showErrorMessage="1" xr:uid="{A871E619-62AF-4B13-A789-20E4E1337726}">
          <x14:formula1>
            <xm:f>List_2!$N$2:$N$100000</xm:f>
          </x14:formula1>
          <xm:sqref>R68</xm:sqref>
        </x14:dataValidation>
        <x14:dataValidation type="list" allowBlank="1" showInputMessage="1" showErrorMessage="1" xr:uid="{DC57E97F-974D-415B-A91F-4C3C62064F37}">
          <x14:formula1>
            <xm:f>List_2!$Q$2:$Q$100000</xm:f>
          </x14:formula1>
          <xm:sqref>R139</xm:sqref>
        </x14:dataValidation>
        <x14:dataValidation type="list" allowBlank="1" showInputMessage="1" showErrorMessage="1" xr:uid="{4667EA34-99BA-4E88-A31F-C7697E05E58D}">
          <x14:formula1>
            <xm:f>List_2!$D$2:$D$100000</xm:f>
          </x14:formula1>
          <xm:sqref>R155</xm:sqref>
        </x14:dataValidation>
        <x14:dataValidation type="list" allowBlank="1" showInputMessage="1" showErrorMessage="1" xr:uid="{E0321148-8E71-4098-81B8-80AD8C953D6F}">
          <x14:formula1>
            <xm:f>List_2!$T$2:$T$100000</xm:f>
          </x14:formula1>
          <xm:sqref>R159</xm:sqref>
        </x14:dataValidation>
        <x14:dataValidation type="list" allowBlank="1" showInputMessage="1" showErrorMessage="1" xr:uid="{D17FBF2B-B3F6-4222-A7C2-732200EC696E}">
          <x14:formula1>
            <xm:f>List_2!$U$2:$U$100000</xm:f>
          </x14:formula1>
          <xm:sqref>R161</xm:sqref>
        </x14:dataValidation>
        <x14:dataValidation type="list" allowBlank="1" showInputMessage="1" showErrorMessage="1" xr:uid="{5CAE92E6-88B6-482B-B907-6DE10BDA500C}">
          <x14:formula1>
            <xm:f>List_2!$V$2:$V$100000</xm:f>
          </x14:formula1>
          <xm:sqref>R163</xm:sqref>
        </x14:dataValidation>
        <x14:dataValidation type="list" allowBlank="1" showInputMessage="1" showErrorMessage="1" xr:uid="{D1082133-A01F-4C96-A63C-DCD85FB62619}">
          <x14:formula1>
            <xm:f>List_2!$W$2:$W$100000</xm:f>
          </x14:formula1>
          <xm:sqref>R165</xm:sqref>
        </x14:dataValidation>
        <x14:dataValidation type="list" allowBlank="1" showInputMessage="1" showErrorMessage="1" xr:uid="{F0AEDB4F-1C88-489A-888B-D527D3CAD9B0}">
          <x14:formula1>
            <xm:f>List_2!$Z$2:$Z$100000</xm:f>
          </x14:formula1>
          <xm:sqref>R190</xm:sqref>
        </x14:dataValidation>
        <x14:dataValidation type="list" allowBlank="1" showInputMessage="1" showErrorMessage="1" xr:uid="{CB5F99A8-FBF2-429F-99AF-6A3320B1646A}">
          <x14:formula1>
            <xm:f>List_2!$AJ$2:$AJ$100000</xm:f>
          </x14:formula1>
          <xm:sqref>R321</xm:sqref>
        </x14:dataValidation>
        <x14:dataValidation type="list" allowBlank="1" showInputMessage="1" showErrorMessage="1" xr:uid="{C553E142-22CA-4BD8-84E4-2DD6EC843D62}">
          <x14:formula1>
            <xm:f>List_2!$AK$2:$AK$100000</xm:f>
          </x14:formula1>
          <xm:sqref>R323</xm:sqref>
        </x14:dataValidation>
        <x14:dataValidation type="list" allowBlank="1" showInputMessage="1" showErrorMessage="1" xr:uid="{1F3FE361-61C6-4058-8AAB-F9EDE1BA14C3}">
          <x14:formula1>
            <xm:f>List_2!$AL$2:$AL$100000</xm:f>
          </x14:formula1>
          <xm:sqref>R325</xm:sqref>
        </x14:dataValidation>
        <x14:dataValidation type="list" allowBlank="1" showInputMessage="1" showErrorMessage="1" xr:uid="{27377E2E-5AEC-4FA4-AAAA-EE7C618033F0}">
          <x14:formula1>
            <xm:f>List_2!$AO$2:$AO$100000</xm:f>
          </x14:formula1>
          <xm:sqref>R132 R96 R120 R114:R115 R98:R101</xm:sqref>
        </x14:dataValidation>
        <x14:dataValidation type="list" allowBlank="1" showInputMessage="1" showErrorMessage="1" xr:uid="{58776637-95C5-4847-AE48-64A7B6B651DC}">
          <x14:formula1>
            <xm:f>List_2!$L$2:$L$100000</xm:f>
          </x14:formula1>
          <xm:sqref>R33</xm:sqref>
        </x14:dataValidation>
        <x14:dataValidation type="list" allowBlank="1" showInputMessage="1" showErrorMessage="1" xr:uid="{ED18AC52-41ED-4544-9755-F3F456420028}">
          <x14:formula1>
            <xm:f>List_2!$M$2:$M$100000</xm:f>
          </x14:formula1>
          <xm:sqref>R44</xm:sqref>
        </x14:dataValidation>
        <x14:dataValidation type="list" allowBlank="1" showInputMessage="1" showErrorMessage="1" prompt="Please include &quot;Not Applicable&quot; in this cell or fill in the answer in the cell above. Field should remain blank if one is including an answer above." xr:uid="{9B647A96-4C04-47B2-BB1C-1D33E432D436}">
          <x14:formula1>
            <xm:f>List_2!$E$2:$E$100000</xm:f>
          </x14:formula1>
          <xm:sqref>R111 R108</xm:sqref>
        </x14:dataValidation>
        <x14:dataValidation type="list" allowBlank="1" showInputMessage="1" showErrorMessage="1" xr:uid="{37FBF06A-1212-4F33-B613-FDEF96793F2B}">
          <x14:formula1>
            <xm:f>List_2!$P$2:$P$100000</xm:f>
          </x14:formula1>
          <xm:sqref>R120 R130 R117 R124 R126 R128 R132</xm:sqref>
        </x14:dataValidation>
        <x14:dataValidation type="list" allowBlank="1" showInputMessage="1" showErrorMessage="1" xr:uid="{683CFB3F-9BDB-4B26-BEF2-81CA0FBBF20B}">
          <x14:formula1>
            <xm:f>List_2!$AN$2:$AN$100000</xm:f>
          </x14:formula1>
          <xm:sqref>R117</xm:sqref>
        </x14:dataValidation>
        <x14:dataValidation type="list" allowBlank="1" showInputMessage="1" showErrorMessage="1" xr:uid="{7551B95C-622B-4B8B-8167-438242B8D1DF}">
          <x14:formula1>
            <xm:f>List_2!$X$2:$X$100000</xm:f>
          </x14:formula1>
          <xm:sqref>R186</xm:sqref>
        </x14:dataValidation>
        <x14:dataValidation type="list" allowBlank="1" showInputMessage="1" showErrorMessage="1" xr:uid="{B9657809-4AEE-4B18-9074-7691C131EF79}">
          <x14:formula1>
            <xm:f>List_2!$Y$2:$Y$100000</xm:f>
          </x14:formula1>
          <xm:sqref>R188</xm:sqref>
        </x14:dataValidation>
        <x14:dataValidation type="list" allowBlank="1" showInputMessage="1" showErrorMessage="1" xr:uid="{25D98695-9087-40E5-91DC-2416B4E9BC2B}">
          <x14:formula1>
            <xm:f>List_2!$AC$2:$AC$100000</xm:f>
          </x14:formula1>
          <xm:sqref>R210</xm:sqref>
        </x14:dataValidation>
        <x14:dataValidation type="list" allowBlank="1" showInputMessage="1" showErrorMessage="1" prompt="Please include &quot;Not Available&quot; in this cell or fill in the answer in the cell above. Field should remain blank if one is including an answer above." xr:uid="{117479C5-B21C-4FF4-A9D4-E1764BB9CAFA}">
          <x14:formula1>
            <xm:f>List_2!$F$2:$F$100000</xm:f>
          </x14:formula1>
          <xm:sqref>R217</xm:sqref>
        </x14:dataValidation>
        <x14:dataValidation type="list" allowBlank="1" showInputMessage="1" showErrorMessage="1" xr:uid="{83F397B2-200A-4423-8EFF-2322C6830D91}">
          <x14:formula1>
            <xm:f>List_2!$AD$2:$AD$100000</xm:f>
          </x14:formula1>
          <xm:sqref>R221</xm:sqref>
        </x14:dataValidation>
        <x14:dataValidation type="list" allowBlank="1" showInputMessage="1" showErrorMessage="1" xr:uid="{2E603372-1092-481D-BEF5-CE61FFF3C234}">
          <x14:formula1>
            <xm:f>List_2!$AE$2:$AE$100000</xm:f>
          </x14:formula1>
          <xm:sqref>R225</xm:sqref>
        </x14:dataValidation>
        <x14:dataValidation type="list" allowBlank="1" showInputMessage="1" showErrorMessage="1" xr:uid="{8543E94D-EBCA-4139-8432-47213D01B8C8}">
          <x14:formula1>
            <xm:f>List_2!$AI$2:$AI$100000</xm:f>
          </x14:formula1>
          <xm:sqref>R311</xm:sqref>
        </x14:dataValidation>
        <x14:dataValidation type="list" allowBlank="1" showInputMessage="1" showErrorMessage="1" prompt="Please answer with either a Yes or No. Empty answers are not allowed." xr:uid="{A5F328C0-8659-4B03-AEA7-AF0A4B989D20}">
          <x14:formula1>
            <xm:f>List_2!$C$2:$C$3</xm:f>
          </x14:formula1>
          <xm:sqref>R59:R66 R49:R56</xm:sqref>
        </x14:dataValidation>
        <x14:dataValidation type="list" allowBlank="1" showInputMessage="1" showErrorMessage="1" prompt="Please answer with either a “Yes” or “No”. Empty answers are not allowed." xr:uid="{75B5BC0E-FC03-4B8F-A1D5-FD42977E64B9}">
          <x14:formula1>
            <xm:f>List_2!$C$2:$C$3</xm:f>
          </x14:formula1>
          <xm:sqref>R172:R178 R142:R145 R72:R75 R148:R151 R299:R302 R245:R250 R236:R241 R254:R259</xm:sqref>
        </x14:dataValidation>
        <x14:dataValidation type="list" allowBlank="1" showInputMessage="1" showErrorMessage="1" prompt="Please answer with a “Yes”, “No” or leave the field empty." xr:uid="{08633D30-EE66-46B8-B06E-80822A11BDBA}">
          <x14:formula1>
            <xm:f>List_2!$C$2:$C$3</xm:f>
          </x14:formula1>
          <xm:sqref>G78:G90 K78:K90 O78:O84</xm:sqref>
        </x14:dataValidation>
        <x14:dataValidation type="list" allowBlank="1" showInputMessage="1" showErrorMessage="1" xr:uid="{D006F365-A9A8-43D0-BF3E-CA381A5D6885}">
          <x14:formula1>
            <xm:f>List_2!$AY$2:$AY$5</xm:f>
          </x14:formula1>
          <xm:sqref>R153</xm:sqref>
        </x14:dataValidation>
        <x14:dataValidation type="list" operator="greaterThan" allowBlank="1" showInputMessage="1" showErrorMessage="1" error="Kindly input a numerical value greater than 0" prompt="Please include &quot;Not Applicable&quot; in this cell or fill in the answer in the cell above. Field should remain blank if one is including an answer above." xr:uid="{DCA0794F-8D6B-4FB3-B381-6716B1D63B6A}">
          <x14:formula1>
            <xm:f>List_2!$E$2:$E$3</xm:f>
          </x14:formula1>
          <xm:sqref>R326 R331</xm:sqref>
        </x14:dataValidation>
        <x14:dataValidation type="list" operator="greaterThanOrEqual" allowBlank="1" showInputMessage="1" showErrorMessage="1" error="Kindly input a whole number _x000a_greater than or equal to 0" prompt="Please include &quot;Not Applicable&quot; in this cell or fill in the answer in the cell above. Field should remain blank if one is including an answer above." xr:uid="{59D6F6DA-0407-4413-9E01-38B4BD568A19}">
          <x14:formula1>
            <xm:f>List_2!$E$2:$E$3</xm:f>
          </x14:formula1>
          <xm:sqref>R339</xm:sqref>
        </x14:dataValidation>
        <x14:dataValidation type="list" operator="greaterThan" allowBlank="1" showInputMessage="1" showErrorMessage="1" error="Kindly input a numerical value greater than 0" prompt="Please include &quot;Not Available&quot; in this cell or fill in the answer in the cell above. Field should remain blank if one is including an answer above." xr:uid="{E6CE7795-D3E8-4630-8BE1-809517E75548}">
          <x14:formula1>
            <xm:f>List_2!$F$2:$F$3</xm:f>
          </x14:formula1>
          <xm:sqref>R336</xm:sqref>
        </x14:dataValidation>
        <x14:dataValidation type="list" allowBlank="1" showInputMessage="1" showErrorMessage="1" prompt="Please include &quot;Not Applicable&quot; in this cell or fill in the answer in the cell above. Field should remain blank if one is including an answer above." xr:uid="{3C72644E-3279-44FB-BBA4-C956A5BD3056}">
          <x14:formula1>
            <xm:f>List_2!$E$2:$E$3</xm:f>
          </x14:formula1>
          <xm:sqref>R199 R230 R260 R251 R242</xm:sqref>
        </x14:dataValidation>
        <x14:dataValidation type="list" allowBlank="1" showInputMessage="1" showErrorMessage="1" prompt="Please answer with either a “Yes” or “No”. Empty answers are not allowed." xr:uid="{A46ECBF9-2FF1-4F6E-B181-D06395597985}">
          <x14:formula1>
            <xm:f>List_2!$C$2:$C$4</xm:f>
          </x14:formula1>
          <xm:sqref>R283:R288 R275:R280 R291:R296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9EED9-8F70-406A-8DA6-5D5116CD5249}">
  <sheetPr codeName="Sheet5">
    <tabColor theme="9" tint="-0.499984740745262"/>
  </sheetPr>
  <dimension ref="A1:C58"/>
  <sheetViews>
    <sheetView workbookViewId="0"/>
  </sheetViews>
  <sheetFormatPr defaultColWidth="9.140625" defaultRowHeight="15" x14ac:dyDescent="0.25"/>
  <cols>
    <col min="1" max="1" width="15.42578125" style="156" bestFit="1" customWidth="1"/>
    <col min="2" max="2" width="48" style="156" bestFit="1" customWidth="1"/>
    <col min="3" max="3" width="36.5703125" style="156" bestFit="1" customWidth="1"/>
    <col min="4" max="16384" width="9.140625" style="156"/>
  </cols>
  <sheetData>
    <row r="1" spans="1:3" x14ac:dyDescent="0.25">
      <c r="A1" s="156" t="s">
        <v>2</v>
      </c>
      <c r="B1" s="156" t="s">
        <v>39</v>
      </c>
      <c r="C1" s="156" t="s">
        <v>52</v>
      </c>
    </row>
    <row r="2" spans="1:3" ht="15" customHeight="1" x14ac:dyDescent="0.25">
      <c r="A2">
        <v>4454</v>
      </c>
      <c r="B2" t="s">
        <v>1343</v>
      </c>
      <c r="C2" s="156" t="s">
        <v>41</v>
      </c>
    </row>
    <row r="3" spans="1:3" ht="15" customHeight="1" x14ac:dyDescent="0.25">
      <c r="A3">
        <v>3996</v>
      </c>
      <c r="B3" t="s">
        <v>27</v>
      </c>
      <c r="C3" s="156" t="s">
        <v>41</v>
      </c>
    </row>
    <row r="4" spans="1:3" ht="15" customHeight="1" x14ac:dyDescent="0.25">
      <c r="A4">
        <v>4418</v>
      </c>
      <c r="B4" t="s">
        <v>36</v>
      </c>
      <c r="C4" s="156" t="s">
        <v>41</v>
      </c>
    </row>
    <row r="5" spans="1:3" x14ac:dyDescent="0.25">
      <c r="A5">
        <v>4444</v>
      </c>
      <c r="B5" t="s">
        <v>1077</v>
      </c>
      <c r="C5" s="156" t="s">
        <v>41</v>
      </c>
    </row>
    <row r="6" spans="1:3" x14ac:dyDescent="0.25">
      <c r="A6">
        <v>4410</v>
      </c>
      <c r="B6" t="s">
        <v>35</v>
      </c>
      <c r="C6" s="156" t="s">
        <v>41</v>
      </c>
    </row>
    <row r="7" spans="1:3" x14ac:dyDescent="0.25">
      <c r="A7">
        <v>3886</v>
      </c>
      <c r="B7" t="s">
        <v>26</v>
      </c>
      <c r="C7" s="156" t="s">
        <v>41</v>
      </c>
    </row>
    <row r="8" spans="1:3" x14ac:dyDescent="0.25">
      <c r="A8">
        <v>1492</v>
      </c>
      <c r="B8" t="s">
        <v>8</v>
      </c>
      <c r="C8" s="156" t="s">
        <v>41</v>
      </c>
    </row>
    <row r="9" spans="1:3" x14ac:dyDescent="0.25">
      <c r="A9">
        <v>1386</v>
      </c>
      <c r="B9" t="s">
        <v>7</v>
      </c>
      <c r="C9" s="156" t="s">
        <v>41</v>
      </c>
    </row>
    <row r="10" spans="1:3" x14ac:dyDescent="0.25">
      <c r="A10">
        <v>2127</v>
      </c>
      <c r="B10" t="s">
        <v>13</v>
      </c>
      <c r="C10" s="156" t="s">
        <v>41</v>
      </c>
    </row>
    <row r="11" spans="1:3" x14ac:dyDescent="0.25">
      <c r="A11">
        <v>1404</v>
      </c>
      <c r="B11" t="s">
        <v>1382</v>
      </c>
      <c r="C11" s="156" t="s">
        <v>41</v>
      </c>
    </row>
    <row r="12" spans="1:3" x14ac:dyDescent="0.25">
      <c r="A12">
        <v>4054</v>
      </c>
      <c r="B12" t="s">
        <v>31</v>
      </c>
      <c r="C12" s="156" t="s">
        <v>41</v>
      </c>
    </row>
    <row r="13" spans="1:3" x14ac:dyDescent="0.25">
      <c r="A13">
        <v>2614</v>
      </c>
      <c r="B13" t="s">
        <v>17</v>
      </c>
      <c r="C13" s="156" t="s">
        <v>41</v>
      </c>
    </row>
    <row r="14" spans="1:3" x14ac:dyDescent="0.25">
      <c r="A14">
        <v>2178</v>
      </c>
      <c r="B14" t="s">
        <v>15</v>
      </c>
      <c r="C14" s="156" t="s">
        <v>41</v>
      </c>
    </row>
    <row r="15" spans="1:3" x14ac:dyDescent="0.25">
      <c r="A15">
        <v>2773</v>
      </c>
      <c r="B15" t="s">
        <v>1383</v>
      </c>
      <c r="C15" s="156" t="s">
        <v>41</v>
      </c>
    </row>
    <row r="16" spans="1:3" x14ac:dyDescent="0.25">
      <c r="A16">
        <v>4585</v>
      </c>
      <c r="B16" t="s">
        <v>1388</v>
      </c>
      <c r="C16" s="156" t="s">
        <v>41</v>
      </c>
    </row>
    <row r="17" spans="1:3" x14ac:dyDescent="0.25">
      <c r="A17">
        <v>3087</v>
      </c>
      <c r="B17" t="s">
        <v>21</v>
      </c>
      <c r="C17" s="156" t="s">
        <v>41</v>
      </c>
    </row>
    <row r="18" spans="1:3" x14ac:dyDescent="0.25">
      <c r="A18">
        <v>1381</v>
      </c>
      <c r="B18" t="s">
        <v>6</v>
      </c>
      <c r="C18" s="156" t="s">
        <v>41</v>
      </c>
    </row>
    <row r="19" spans="1:3" x14ac:dyDescent="0.25">
      <c r="A19">
        <v>4570</v>
      </c>
      <c r="B19" t="s">
        <v>1389</v>
      </c>
      <c r="C19" s="156" t="s">
        <v>41</v>
      </c>
    </row>
    <row r="20" spans="1:3" x14ac:dyDescent="0.25">
      <c r="A20">
        <v>4037</v>
      </c>
      <c r="B20" t="s">
        <v>29</v>
      </c>
      <c r="C20" s="156" t="s">
        <v>41</v>
      </c>
    </row>
    <row r="21" spans="1:3" x14ac:dyDescent="0.25">
      <c r="A21">
        <v>2632</v>
      </c>
      <c r="B21" t="s">
        <v>18</v>
      </c>
      <c r="C21" s="156" t="s">
        <v>41</v>
      </c>
    </row>
    <row r="22" spans="1:3" x14ac:dyDescent="0.25">
      <c r="A22">
        <v>1262</v>
      </c>
      <c r="B22" t="s">
        <v>5</v>
      </c>
      <c r="C22" s="156" t="s">
        <v>41</v>
      </c>
    </row>
    <row r="23" spans="1:3" x14ac:dyDescent="0.25">
      <c r="A23">
        <v>1979</v>
      </c>
      <c r="B23" t="s">
        <v>11</v>
      </c>
      <c r="C23" s="156" t="s">
        <v>41</v>
      </c>
    </row>
    <row r="24" spans="1:3" x14ac:dyDescent="0.25">
      <c r="A24">
        <v>4535</v>
      </c>
      <c r="B24" t="s">
        <v>1336</v>
      </c>
      <c r="C24" s="156" t="s">
        <v>41</v>
      </c>
    </row>
    <row r="25" spans="1:3" x14ac:dyDescent="0.25">
      <c r="A25">
        <v>4043</v>
      </c>
      <c r="B25" t="s">
        <v>30</v>
      </c>
      <c r="C25" s="156" t="s">
        <v>41</v>
      </c>
    </row>
    <row r="26" spans="1:3" x14ac:dyDescent="0.25">
      <c r="A26">
        <v>2951</v>
      </c>
      <c r="B26" t="s">
        <v>20</v>
      </c>
      <c r="C26" s="156" t="s">
        <v>41</v>
      </c>
    </row>
    <row r="27" spans="1:3" x14ac:dyDescent="0.25">
      <c r="A27">
        <v>4034</v>
      </c>
      <c r="B27" t="s">
        <v>28</v>
      </c>
      <c r="C27" s="156" t="s">
        <v>41</v>
      </c>
    </row>
    <row r="28" spans="1:3" x14ac:dyDescent="0.25">
      <c r="A28">
        <v>4431</v>
      </c>
      <c r="B28" t="s">
        <v>37</v>
      </c>
      <c r="C28" s="156" t="s">
        <v>41</v>
      </c>
    </row>
    <row r="29" spans="1:3" x14ac:dyDescent="0.25">
      <c r="A29">
        <v>3608</v>
      </c>
      <c r="B29" t="s">
        <v>24</v>
      </c>
      <c r="C29" s="156" t="s">
        <v>41</v>
      </c>
    </row>
    <row r="30" spans="1:3" x14ac:dyDescent="0.25">
      <c r="A30">
        <v>2100</v>
      </c>
      <c r="B30" t="s">
        <v>12</v>
      </c>
      <c r="C30" s="156" t="s">
        <v>41</v>
      </c>
    </row>
    <row r="31" spans="1:3" x14ac:dyDescent="0.25">
      <c r="A31">
        <v>3501</v>
      </c>
      <c r="B31" t="s">
        <v>1385</v>
      </c>
      <c r="C31" s="156" t="s">
        <v>41</v>
      </c>
    </row>
    <row r="32" spans="1:3" x14ac:dyDescent="0.25">
      <c r="A32">
        <v>2176</v>
      </c>
      <c r="B32" t="s">
        <v>14</v>
      </c>
      <c r="C32" s="156" t="s">
        <v>41</v>
      </c>
    </row>
    <row r="33" spans="1:3" x14ac:dyDescent="0.25">
      <c r="A33">
        <v>1256</v>
      </c>
      <c r="B33" t="s">
        <v>4</v>
      </c>
      <c r="C33" s="156" t="s">
        <v>41</v>
      </c>
    </row>
    <row r="34" spans="1:3" x14ac:dyDescent="0.25">
      <c r="A34">
        <v>3528</v>
      </c>
      <c r="B34" t="s">
        <v>23</v>
      </c>
      <c r="C34" s="156" t="s">
        <v>41</v>
      </c>
    </row>
    <row r="35" spans="1:3" x14ac:dyDescent="0.25">
      <c r="A35">
        <v>4478</v>
      </c>
      <c r="B35" t="s">
        <v>1387</v>
      </c>
      <c r="C35" s="156" t="s">
        <v>41</v>
      </c>
    </row>
    <row r="36" spans="1:3" x14ac:dyDescent="0.25">
      <c r="A36">
        <v>4544</v>
      </c>
      <c r="B36" t="s">
        <v>1337</v>
      </c>
      <c r="C36" s="156" t="s">
        <v>41</v>
      </c>
    </row>
    <row r="37" spans="1:3" x14ac:dyDescent="0.25">
      <c r="A37">
        <v>1545</v>
      </c>
      <c r="B37" t="s">
        <v>9</v>
      </c>
      <c r="C37" s="156" t="s">
        <v>41</v>
      </c>
    </row>
    <row r="38" spans="1:3" x14ac:dyDescent="0.25">
      <c r="A38">
        <v>4574</v>
      </c>
      <c r="B38" t="s">
        <v>1384</v>
      </c>
      <c r="C38" s="156" t="s">
        <v>41</v>
      </c>
    </row>
    <row r="39" spans="1:3" x14ac:dyDescent="0.25">
      <c r="A39">
        <v>4479</v>
      </c>
      <c r="B39" t="s">
        <v>1338</v>
      </c>
      <c r="C39" s="156" t="s">
        <v>41</v>
      </c>
    </row>
    <row r="40" spans="1:3" x14ac:dyDescent="0.25">
      <c r="A40">
        <v>4469</v>
      </c>
      <c r="B40" t="s">
        <v>1339</v>
      </c>
      <c r="C40" s="156" t="s">
        <v>41</v>
      </c>
    </row>
    <row r="41" spans="1:3" x14ac:dyDescent="0.25">
      <c r="A41">
        <v>4306</v>
      </c>
      <c r="B41" t="s">
        <v>32</v>
      </c>
      <c r="C41" s="156" t="s">
        <v>41</v>
      </c>
    </row>
    <row r="42" spans="1:3" x14ac:dyDescent="0.25">
      <c r="A42">
        <v>2664</v>
      </c>
      <c r="B42" t="s">
        <v>1259</v>
      </c>
      <c r="C42" s="156" t="s">
        <v>41</v>
      </c>
    </row>
    <row r="43" spans="1:3" x14ac:dyDescent="0.25">
      <c r="A43">
        <v>4149</v>
      </c>
      <c r="B43" t="s">
        <v>1386</v>
      </c>
      <c r="C43" s="156" t="s">
        <v>41</v>
      </c>
    </row>
    <row r="44" spans="1:3" x14ac:dyDescent="0.25">
      <c r="A44">
        <v>4450</v>
      </c>
      <c r="B44" t="s">
        <v>1222</v>
      </c>
      <c r="C44" s="156" t="s">
        <v>41</v>
      </c>
    </row>
    <row r="45" spans="1:3" x14ac:dyDescent="0.25">
      <c r="A45">
        <v>4346</v>
      </c>
      <c r="B45" t="s">
        <v>33</v>
      </c>
      <c r="C45" s="156" t="s">
        <v>41</v>
      </c>
    </row>
    <row r="46" spans="1:3" x14ac:dyDescent="0.25">
      <c r="A46">
        <v>2690</v>
      </c>
      <c r="B46" t="s">
        <v>19</v>
      </c>
      <c r="C46" s="156" t="s">
        <v>41</v>
      </c>
    </row>
    <row r="47" spans="1:3" x14ac:dyDescent="0.25">
      <c r="A47">
        <v>2505</v>
      </c>
      <c r="B47" t="s">
        <v>16</v>
      </c>
      <c r="C47" s="156" t="s">
        <v>41</v>
      </c>
    </row>
    <row r="48" spans="1:3" x14ac:dyDescent="0.25">
      <c r="A48">
        <v>3794</v>
      </c>
      <c r="B48" t="s">
        <v>25</v>
      </c>
      <c r="C48" s="156" t="s">
        <v>41</v>
      </c>
    </row>
    <row r="49" spans="1:3" x14ac:dyDescent="0.25">
      <c r="A49">
        <v>3841</v>
      </c>
      <c r="B49" t="s">
        <v>25</v>
      </c>
      <c r="C49" s="156" t="s">
        <v>41</v>
      </c>
    </row>
    <row r="50" spans="1:3" x14ac:dyDescent="0.25">
      <c r="A50">
        <v>1180</v>
      </c>
      <c r="B50" t="s">
        <v>3</v>
      </c>
      <c r="C50" s="156" t="s">
        <v>41</v>
      </c>
    </row>
    <row r="51" spans="1:3" x14ac:dyDescent="0.25">
      <c r="A51">
        <v>4357</v>
      </c>
      <c r="B51" t="s">
        <v>34</v>
      </c>
      <c r="C51" s="156" t="s">
        <v>41</v>
      </c>
    </row>
    <row r="52" spans="1:3" x14ac:dyDescent="0.25">
      <c r="A52">
        <v>1657</v>
      </c>
      <c r="B52" t="s">
        <v>10</v>
      </c>
      <c r="C52" s="156" t="s">
        <v>41</v>
      </c>
    </row>
    <row r="53" spans="1:3" x14ac:dyDescent="0.25">
      <c r="A53">
        <v>1186</v>
      </c>
      <c r="B53" t="s">
        <v>1340</v>
      </c>
      <c r="C53" s="156" t="s">
        <v>41</v>
      </c>
    </row>
    <row r="54" spans="1:3" x14ac:dyDescent="0.25">
      <c r="A54">
        <v>2034</v>
      </c>
      <c r="B54" t="s">
        <v>1341</v>
      </c>
      <c r="C54" s="156" t="s">
        <v>41</v>
      </c>
    </row>
    <row r="55" spans="1:3" x14ac:dyDescent="0.25">
      <c r="A55">
        <v>3154</v>
      </c>
      <c r="B55" t="s">
        <v>22</v>
      </c>
      <c r="C55" s="156" t="s">
        <v>41</v>
      </c>
    </row>
    <row r="56" spans="1:3" x14ac:dyDescent="0.25">
      <c r="A56">
        <v>4442</v>
      </c>
      <c r="B56" t="s">
        <v>1076</v>
      </c>
      <c r="C56" s="156" t="s">
        <v>41</v>
      </c>
    </row>
    <row r="57" spans="1:3" x14ac:dyDescent="0.25">
      <c r="A57">
        <v>4460</v>
      </c>
      <c r="B57" t="s">
        <v>1342</v>
      </c>
      <c r="C57" s="156" t="s">
        <v>41</v>
      </c>
    </row>
    <row r="58" spans="1:3" x14ac:dyDescent="0.25">
      <c r="A58">
        <v>4433</v>
      </c>
      <c r="B58" t="s">
        <v>38</v>
      </c>
      <c r="C58" s="156" t="s">
        <v>41</v>
      </c>
    </row>
  </sheetData>
  <autoFilter ref="A1:C54" xr:uid="{E9A9EED9-8F70-406A-8DA6-5D5116CD5249}"/>
  <sortState xmlns:xlrd2="http://schemas.microsoft.com/office/spreadsheetml/2017/richdata2" ref="A2:C58">
    <sortCondition ref="B2:B58"/>
  </sortState>
  <pageMargins left="0.7" right="0.7" top="0.75" bottom="0.75" header="0.3" footer="0.3"/>
  <pageSetup paperSize="9" orientation="portrait" r:id="rId1"/>
</worksheet>
</file>

<file path=docMetadata/LabelInfo.xml><?xml version="1.0" encoding="utf-8"?>
<clbl:labelList xmlns:clbl="http://schemas.microsoft.com/office/2020/mipLabelMetadata">
  <clbl:label id="{bc41735d-6910-4b89-bbb7-1d6edb3ee542}" enabled="1" method="Privileged" siteId="{cc89b43c-8b93-40da-9aae-a7affedd857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63</vt:i4>
      </vt:variant>
    </vt:vector>
  </HeadingPairs>
  <TitlesOfParts>
    <vt:vector size="71" baseType="lpstr">
      <vt:lpstr>CoverSheet</vt:lpstr>
      <vt:lpstr>Index</vt:lpstr>
      <vt:lpstr>REQ-SubjectPersonInformation</vt:lpstr>
      <vt:lpstr>REQ - Product Risk</vt:lpstr>
      <vt:lpstr>REQ - Customer Risk</vt:lpstr>
      <vt:lpstr>REQ - Jurisdiction Risk</vt:lpstr>
      <vt:lpstr>REQ - Interface Risk</vt:lpstr>
      <vt:lpstr>REQ - Controls</vt:lpstr>
      <vt:lpstr>Broking</vt:lpstr>
      <vt:lpstr>Capital</vt:lpstr>
      <vt:lpstr>CR.29</vt:lpstr>
      <vt:lpstr>CR.30</vt:lpstr>
      <vt:lpstr>CR.32</vt:lpstr>
      <vt:lpstr>CR.33</vt:lpstr>
      <vt:lpstr>CR.35</vt:lpstr>
      <vt:lpstr>CR.36</vt:lpstr>
      <vt:lpstr>CR.41</vt:lpstr>
      <vt:lpstr>CR.42</vt:lpstr>
      <vt:lpstr>CR.47</vt:lpstr>
      <vt:lpstr>CR.48</vt:lpstr>
      <vt:lpstr>CR.50</vt:lpstr>
      <vt:lpstr>CR.51</vt:lpstr>
      <vt:lpstr>CR.55</vt:lpstr>
      <vt:lpstr>CR.56</vt:lpstr>
      <vt:lpstr>CR.60</vt:lpstr>
      <vt:lpstr>CR.62</vt:lpstr>
      <vt:lpstr>CR.63</vt:lpstr>
      <vt:lpstr>CR.68</vt:lpstr>
      <vt:lpstr>CR.69</vt:lpstr>
      <vt:lpstr>CR.71</vt:lpstr>
      <vt:lpstr>CR.72</vt:lpstr>
      <vt:lpstr>CR.74</vt:lpstr>
      <vt:lpstr>CR.75</vt:lpstr>
      <vt:lpstr>CR.76</vt:lpstr>
      <vt:lpstr>CR.78</vt:lpstr>
      <vt:lpstr>CR.79</vt:lpstr>
      <vt:lpstr>CR.93</vt:lpstr>
      <vt:lpstr>Emoney</vt:lpstr>
      <vt:lpstr>FinancialLeasing</vt:lpstr>
      <vt:lpstr>Guarantees</vt:lpstr>
      <vt:lpstr>Leasing</vt:lpstr>
      <vt:lpstr>Lending</vt:lpstr>
      <vt:lpstr>MF.12</vt:lpstr>
      <vt:lpstr>Other</vt:lpstr>
      <vt:lpstr>Payment</vt:lpstr>
      <vt:lpstr>PR.100</vt:lpstr>
      <vt:lpstr>PR.104</vt:lpstr>
      <vt:lpstr>PR.116</vt:lpstr>
      <vt:lpstr>PR.133</vt:lpstr>
      <vt:lpstr>PR.136</vt:lpstr>
      <vt:lpstr>PR.144</vt:lpstr>
      <vt:lpstr>PR.27</vt:lpstr>
      <vt:lpstr>PR.28</vt:lpstr>
      <vt:lpstr>PR.49</vt:lpstr>
      <vt:lpstr>PR.50</vt:lpstr>
      <vt:lpstr>PR.54</vt:lpstr>
      <vt:lpstr>PR.57</vt:lpstr>
      <vt:lpstr>PR.61</vt:lpstr>
      <vt:lpstr>PR.63</vt:lpstr>
      <vt:lpstr>PR.82</vt:lpstr>
      <vt:lpstr>PR.82.1</vt:lpstr>
      <vt:lpstr>PR.82.2</vt:lpstr>
      <vt:lpstr>PR.82.3</vt:lpstr>
      <vt:lpstr>PR.82.4</vt:lpstr>
      <vt:lpstr>PR.82.5</vt:lpstr>
      <vt:lpstr>PR.82.6</vt:lpstr>
      <vt:lpstr>PR.93</vt:lpstr>
      <vt:lpstr>PR.98</vt:lpstr>
      <vt:lpstr>Trading</vt:lpstr>
      <vt:lpstr>Underwriting</vt:lpstr>
      <vt:lpstr>VentureOrRiskCapital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2024-11-15T07:22:43Z</dcterms:created>
  <dcterms:modified xsi:type="dcterms:W3CDTF">2026-01-07T13:39:49Z</dcterms:modified>
</cp:coreProperties>
</file>